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5.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7.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drawings/drawing8.xml" ContentType="application/vnd.openxmlformats-officedocument.drawing+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drawings/drawing9.xml" ContentType="application/vnd.openxmlformats-officedocument.drawing+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drawings/drawing10.xml" ContentType="application/vnd.openxmlformats-officedocument.drawing+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11.xml" ContentType="application/vnd.openxmlformats-officedocument.drawing+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filterPrivacy="1" codeName="ThisWorkbook" hidePivotFieldList="1" defaultThemeVersion="166925"/>
  <xr:revisionPtr revIDLastSave="0" documentId="13_ncr:1_{CBCAAB48-9903-450B-8921-844A08C0192C}" xr6:coauthVersionLast="47" xr6:coauthVersionMax="47" xr10:uidLastSave="{00000000-0000-0000-0000-000000000000}"/>
  <bookViews>
    <workbookView xWindow="9012" yWindow="4368" windowWidth="16296" windowHeight="12144" firstSheet="4" activeTab="9" xr2:uid="{9B358240-7421-426F-813C-68FD6FAE5DDE}"/>
  </bookViews>
  <sheets>
    <sheet name="README" sheetId="55" r:id="rId1"/>
    <sheet name="HicRawData" sheetId="40" r:id="rId2"/>
    <sheet name="AllBeds" sheetId="13" r:id="rId3"/>
    <sheet name="ES" sheetId="43" r:id="rId4"/>
    <sheet name="TH" sheetId="44" r:id="rId5"/>
    <sheet name="SH" sheetId="45" r:id="rId6"/>
    <sheet name="PSH" sheetId="46" r:id="rId7"/>
    <sheet name="OPH" sheetId="47" r:id="rId8"/>
    <sheet name="RRH" sheetId="48" r:id="rId9"/>
    <sheet name="Chronic" sheetId="51" r:id="rId10"/>
    <sheet name="Vets" sheetId="49" r:id="rId11"/>
    <sheet name="Youth" sheetId="50" r:id="rId12"/>
    <sheet name="DO_NOT_EDIT" sheetId="53" state="hidden" r:id="rId13"/>
  </sheets>
  <definedNames>
    <definedName name="_xlnm._FilterDatabase" localSheetId="1" hidden="1">HicRawData!$A$1:$CP$28</definedName>
    <definedName name="CoC">DO_NOT_EDIT!$B$2</definedName>
    <definedName name="HeadingLine2">DO_NOT_EDIT!$D$2</definedName>
    <definedName name="HeadingLine3">DO_NOT_EDIT!$D$3</definedName>
    <definedName name="HIC_Date">DO_NOT_EDIT!$B$4</definedName>
    <definedName name="HudNum">DO_NOT_EDIT!$B$1</definedName>
    <definedName name="_xlnm.Print_Area" localSheetId="2">AllBeds!$A$1:$G$73</definedName>
    <definedName name="_xlnm.Print_Area" localSheetId="9">Chronic!$A$1:$G$73</definedName>
    <definedName name="_xlnm.Print_Area" localSheetId="3">ES!$A$1:$G$73</definedName>
    <definedName name="_xlnm.Print_Area" localSheetId="1">HicRawData!$CQ$1</definedName>
    <definedName name="_xlnm.Print_Area" localSheetId="7">OPH!$A$1:$G$73</definedName>
    <definedName name="_xlnm.Print_Area" localSheetId="6">PSH!$A$1:$G$73</definedName>
    <definedName name="_xlnm.Print_Area" localSheetId="0">README!$A$1:$F$31</definedName>
    <definedName name="_xlnm.Print_Area" localSheetId="8">RRH!$A$1:$G$73</definedName>
    <definedName name="_xlnm.Print_Area" localSheetId="5">SH!$A$1:$G$73</definedName>
    <definedName name="_xlnm.Print_Area" localSheetId="4">TH!$A$1:$G$73</definedName>
    <definedName name="_xlnm.Print_Area" localSheetId="10">Vets!$A$1:$G$73</definedName>
    <definedName name="_xlnm.Print_Area" localSheetId="11">Youth!$A$1:$G$73</definedName>
    <definedName name="_xlnm.Print_Titles" localSheetId="2">AllBeds!$1:$4</definedName>
    <definedName name="_xlnm.Print_Titles" localSheetId="9">Chronic!$1:$4</definedName>
    <definedName name="_xlnm.Print_Titles" localSheetId="3">ES!$1:$4</definedName>
    <definedName name="_xlnm.Print_Titles" localSheetId="7">OPH!$1:$4</definedName>
    <definedName name="_xlnm.Print_Titles" localSheetId="6">PSH!$1:$4</definedName>
    <definedName name="_xlnm.Print_Titles" localSheetId="8">RRH!$1:$4</definedName>
    <definedName name="_xlnm.Print_Titles" localSheetId="5">SH!$1:$4</definedName>
    <definedName name="_xlnm.Print_Titles" localSheetId="4">TH!$1:$4</definedName>
    <definedName name="_xlnm.Print_Titles" localSheetId="10">Vets!$1:$4</definedName>
    <definedName name="_xlnm.Print_Titles" localSheetId="11">Youth!$1:$4</definedName>
    <definedName name="show_heading_section">DO_NOT_EDIT!$B$7</definedName>
    <definedName name="Year">DO_NOT_EDIT!$B$3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53" l="1"/>
  <c r="B44" i="53"/>
  <c r="A2" i="48"/>
  <c r="A2" i="47"/>
  <c r="A2" i="46"/>
  <c r="A2" i="45"/>
  <c r="A2" i="44"/>
  <c r="A2" i="43"/>
  <c r="A2" i="13"/>
  <c r="B20" i="53"/>
  <c r="B21" i="53" s="1"/>
  <c r="B18" i="53"/>
  <c r="B19" i="53" s="1"/>
  <c r="B27" i="53"/>
  <c r="B28" i="53"/>
  <c r="B29" i="53"/>
  <c r="B30" i="53"/>
  <c r="B31" i="53"/>
  <c r="B32" i="53"/>
  <c r="B33" i="53"/>
  <c r="B34" i="53"/>
  <c r="B35" i="53"/>
  <c r="B36" i="53"/>
  <c r="B37" i="53"/>
  <c r="B38" i="53"/>
  <c r="B39" i="53"/>
  <c r="B40" i="53"/>
  <c r="B41" i="53"/>
  <c r="B42" i="53"/>
  <c r="B43"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1" i="53"/>
  <c r="B82" i="53"/>
  <c r="B83" i="53"/>
  <c r="B84" i="53"/>
  <c r="B85" i="53"/>
  <c r="B86" i="53"/>
  <c r="B87" i="53"/>
  <c r="B88" i="53"/>
  <c r="B89" i="53"/>
  <c r="B90" i="53"/>
  <c r="B91" i="53"/>
  <c r="B92" i="53"/>
  <c r="B93" i="53"/>
  <c r="B94" i="53"/>
  <c r="B95" i="53"/>
  <c r="B96" i="53"/>
  <c r="B97" i="53"/>
  <c r="B98" i="53"/>
  <c r="B99" i="53"/>
  <c r="B100" i="53"/>
  <c r="B101" i="53"/>
  <c r="B102" i="53"/>
  <c r="B103" i="53"/>
  <c r="B104" i="53"/>
  <c r="B105" i="53"/>
  <c r="B106" i="53"/>
  <c r="B107" i="53"/>
  <c r="B108" i="53"/>
  <c r="B109" i="53"/>
  <c r="B110" i="53"/>
  <c r="B111" i="53"/>
  <c r="B112" i="53"/>
  <c r="B113" i="53"/>
  <c r="B114" i="53"/>
  <c r="B115" i="53"/>
  <c r="B116" i="53"/>
  <c r="B117" i="53"/>
  <c r="B118" i="53"/>
  <c r="B26" i="53"/>
  <c r="B25" i="53"/>
  <c r="B14" i="53"/>
  <c r="B15" i="53" s="1"/>
  <c r="B1" i="53"/>
  <c r="B3" i="53"/>
  <c r="B2" i="53"/>
  <c r="B4" i="53"/>
  <c r="B7" i="53" l="1"/>
  <c r="B16" i="53"/>
  <c r="B17" i="53" s="1"/>
  <c r="D47" i="51"/>
  <c r="D48" i="51"/>
  <c r="D49" i="51"/>
  <c r="D50" i="51"/>
  <c r="D51" i="51"/>
  <c r="D52" i="51"/>
  <c r="C47" i="51"/>
  <c r="C48" i="51"/>
  <c r="C49" i="51"/>
  <c r="C50" i="51"/>
  <c r="C51" i="51"/>
  <c r="C52" i="51"/>
  <c r="B47" i="51"/>
  <c r="B48" i="51"/>
  <c r="B49" i="51"/>
  <c r="B50" i="51"/>
  <c r="B51" i="51"/>
  <c r="B52" i="51"/>
  <c r="D38" i="51"/>
  <c r="D39" i="51"/>
  <c r="D40" i="51"/>
  <c r="D41" i="51"/>
  <c r="D42" i="51"/>
  <c r="D43" i="51"/>
  <c r="C38" i="51"/>
  <c r="C39" i="51"/>
  <c r="C40" i="51"/>
  <c r="C41" i="51"/>
  <c r="C42" i="51"/>
  <c r="C43" i="51"/>
  <c r="B38" i="51"/>
  <c r="B39" i="51"/>
  <c r="B40" i="51"/>
  <c r="B41" i="51"/>
  <c r="B42" i="51"/>
  <c r="B43" i="51"/>
  <c r="D27" i="51"/>
  <c r="D28" i="51"/>
  <c r="C27" i="51"/>
  <c r="C28" i="51"/>
  <c r="B27" i="51"/>
  <c r="B28" i="51"/>
  <c r="D21" i="51"/>
  <c r="D22" i="51"/>
  <c r="D23" i="51"/>
  <c r="C21" i="51"/>
  <c r="C22" i="51"/>
  <c r="C23" i="51"/>
  <c r="B21" i="51"/>
  <c r="B22" i="51"/>
  <c r="B23" i="51"/>
  <c r="D14" i="51"/>
  <c r="D15" i="51"/>
  <c r="D16" i="51"/>
  <c r="D7" i="51"/>
  <c r="D8" i="51"/>
  <c r="D9" i="51"/>
  <c r="C14" i="51"/>
  <c r="C15" i="51"/>
  <c r="C16" i="51"/>
  <c r="B14" i="51"/>
  <c r="B15" i="51"/>
  <c r="B16" i="51"/>
  <c r="C7" i="51"/>
  <c r="C8" i="51"/>
  <c r="C9" i="51"/>
  <c r="B7" i="51"/>
  <c r="B8" i="51"/>
  <c r="B9" i="51"/>
  <c r="C47" i="50"/>
  <c r="C48" i="50"/>
  <c r="C49" i="50"/>
  <c r="C50" i="50"/>
  <c r="C51" i="50"/>
  <c r="C52" i="50"/>
  <c r="B47" i="50"/>
  <c r="B48" i="50"/>
  <c r="B49" i="50"/>
  <c r="B50" i="50"/>
  <c r="B51" i="50"/>
  <c r="B52" i="50"/>
  <c r="C38" i="50"/>
  <c r="C39" i="50"/>
  <c r="C40" i="50"/>
  <c r="C41" i="50"/>
  <c r="C42" i="50"/>
  <c r="C43" i="50"/>
  <c r="B38" i="50"/>
  <c r="B39" i="50"/>
  <c r="B40" i="50"/>
  <c r="B41" i="50"/>
  <c r="B42" i="50"/>
  <c r="B43" i="50"/>
  <c r="C27" i="50"/>
  <c r="C28" i="50"/>
  <c r="B27" i="50"/>
  <c r="B28" i="50"/>
  <c r="C21" i="50"/>
  <c r="C22" i="50"/>
  <c r="C23" i="50"/>
  <c r="B21" i="50"/>
  <c r="B22" i="50"/>
  <c r="B23" i="50"/>
  <c r="C14" i="50"/>
  <c r="C15" i="50"/>
  <c r="C16" i="50"/>
  <c r="B14" i="50"/>
  <c r="B15" i="50"/>
  <c r="B16" i="50"/>
  <c r="C7" i="50"/>
  <c r="C8" i="50"/>
  <c r="C9" i="50"/>
  <c r="B7" i="50"/>
  <c r="B8" i="50"/>
  <c r="B9" i="50"/>
  <c r="D53" i="50"/>
  <c r="D44" i="50"/>
  <c r="D29" i="50"/>
  <c r="D24" i="50"/>
  <c r="D18" i="50"/>
  <c r="D17" i="50"/>
  <c r="D11" i="50"/>
  <c r="D10" i="50"/>
  <c r="D2" i="53" l="1"/>
  <c r="A3" i="50" s="1"/>
  <c r="D3" i="53"/>
  <c r="C29" i="51"/>
  <c r="B29" i="51"/>
  <c r="D24" i="51"/>
  <c r="C29" i="50"/>
  <c r="C44" i="51"/>
  <c r="B53" i="51"/>
  <c r="D53" i="51"/>
  <c r="C17" i="50"/>
  <c r="C18" i="50" s="1"/>
  <c r="D10" i="51"/>
  <c r="B44" i="51"/>
  <c r="C10" i="50"/>
  <c r="B24" i="50"/>
  <c r="B17" i="51"/>
  <c r="B18" i="51" s="1"/>
  <c r="C53" i="50"/>
  <c r="C53" i="51"/>
  <c r="C24" i="51"/>
  <c r="D29" i="51"/>
  <c r="D17" i="51"/>
  <c r="C24" i="50"/>
  <c r="C44" i="50"/>
  <c r="D44" i="51"/>
  <c r="C17" i="51"/>
  <c r="C18" i="51" s="1"/>
  <c r="B44" i="50"/>
  <c r="E48" i="51"/>
  <c r="E52" i="51"/>
  <c r="E51" i="51"/>
  <c r="E50" i="51"/>
  <c r="E49" i="51"/>
  <c r="E39" i="51"/>
  <c r="E43" i="51"/>
  <c r="E42" i="51"/>
  <c r="E41" i="51"/>
  <c r="E40" i="51"/>
  <c r="E28" i="51"/>
  <c r="E27" i="51"/>
  <c r="E23" i="51"/>
  <c r="E22" i="51"/>
  <c r="E21" i="51"/>
  <c r="D18" i="51"/>
  <c r="D11" i="51"/>
  <c r="E15" i="51"/>
  <c r="E16" i="51"/>
  <c r="E9" i="51"/>
  <c r="E8" i="51"/>
  <c r="C10" i="51"/>
  <c r="C11" i="51" s="1"/>
  <c r="E7" i="51"/>
  <c r="B10" i="51"/>
  <c r="B11" i="51" s="1"/>
  <c r="E47" i="51"/>
  <c r="E14" i="51"/>
  <c r="B24" i="51"/>
  <c r="E38" i="51"/>
  <c r="E52" i="50"/>
  <c r="E51" i="50"/>
  <c r="E50" i="50"/>
  <c r="E49" i="50"/>
  <c r="E48" i="50"/>
  <c r="E47" i="50"/>
  <c r="E43" i="50"/>
  <c r="E42" i="50"/>
  <c r="E41" i="50"/>
  <c r="E40" i="50"/>
  <c r="E39" i="50"/>
  <c r="E28" i="50"/>
  <c r="E27" i="50"/>
  <c r="B29" i="50"/>
  <c r="E23" i="50"/>
  <c r="E21" i="50"/>
  <c r="E16" i="50"/>
  <c r="E15" i="50"/>
  <c r="E14" i="50"/>
  <c r="E7" i="50"/>
  <c r="E8" i="50"/>
  <c r="B10" i="50"/>
  <c r="B11" i="50" s="1"/>
  <c r="E9" i="50"/>
  <c r="C11" i="50"/>
  <c r="E22" i="50"/>
  <c r="B53" i="50"/>
  <c r="B17" i="50"/>
  <c r="B18" i="50" s="1"/>
  <c r="E38" i="50"/>
  <c r="C47" i="49"/>
  <c r="C48" i="49"/>
  <c r="C49" i="49"/>
  <c r="C50" i="49"/>
  <c r="C51" i="49"/>
  <c r="C52" i="49"/>
  <c r="B47" i="49"/>
  <c r="B48" i="49"/>
  <c r="B49" i="49"/>
  <c r="B50" i="49"/>
  <c r="B51" i="49"/>
  <c r="B52" i="49"/>
  <c r="C38" i="49"/>
  <c r="C39" i="49"/>
  <c r="C40" i="49"/>
  <c r="C41" i="49"/>
  <c r="C42" i="49"/>
  <c r="C43" i="49"/>
  <c r="B38" i="49"/>
  <c r="B39" i="49"/>
  <c r="B40" i="49"/>
  <c r="B41" i="49"/>
  <c r="B42" i="49"/>
  <c r="B43" i="49"/>
  <c r="C27" i="49"/>
  <c r="C28" i="49"/>
  <c r="B27" i="49"/>
  <c r="B28" i="49"/>
  <c r="C21" i="49"/>
  <c r="C22" i="49"/>
  <c r="C23" i="49"/>
  <c r="B21" i="49"/>
  <c r="B22" i="49"/>
  <c r="B23" i="49"/>
  <c r="C14" i="49"/>
  <c r="C15" i="49"/>
  <c r="C16" i="49"/>
  <c r="B14" i="49"/>
  <c r="B15" i="49"/>
  <c r="B16" i="49"/>
  <c r="C7" i="49"/>
  <c r="C8" i="49"/>
  <c r="C9" i="49"/>
  <c r="B7" i="49"/>
  <c r="B8" i="49"/>
  <c r="B9" i="49"/>
  <c r="D53" i="49"/>
  <c r="D44" i="49"/>
  <c r="D29" i="49"/>
  <c r="D24" i="49"/>
  <c r="D17" i="49"/>
  <c r="D52" i="48"/>
  <c r="C52" i="48"/>
  <c r="B52" i="48"/>
  <c r="D51" i="48"/>
  <c r="C51" i="48"/>
  <c r="B51" i="48"/>
  <c r="D50" i="48"/>
  <c r="C50" i="48"/>
  <c r="B50" i="48"/>
  <c r="D49" i="48"/>
  <c r="C49" i="48"/>
  <c r="B49" i="48"/>
  <c r="D48" i="48"/>
  <c r="C48" i="48"/>
  <c r="B48" i="48"/>
  <c r="D47" i="48"/>
  <c r="C47" i="48"/>
  <c r="B47" i="48"/>
  <c r="D43" i="48"/>
  <c r="C43" i="48"/>
  <c r="B43" i="48"/>
  <c r="D42" i="48"/>
  <c r="C42" i="48"/>
  <c r="B42" i="48"/>
  <c r="D41" i="48"/>
  <c r="C41" i="48"/>
  <c r="B41" i="48"/>
  <c r="D40" i="48"/>
  <c r="C40" i="48"/>
  <c r="B40" i="48"/>
  <c r="D39" i="48"/>
  <c r="C39" i="48"/>
  <c r="B39" i="48"/>
  <c r="D38" i="48"/>
  <c r="C38" i="48"/>
  <c r="B38" i="48"/>
  <c r="D28" i="48"/>
  <c r="C28" i="48"/>
  <c r="B28" i="48"/>
  <c r="D27" i="48"/>
  <c r="C27" i="48"/>
  <c r="B27" i="48"/>
  <c r="D23" i="48"/>
  <c r="C23" i="48"/>
  <c r="B23" i="48"/>
  <c r="D22" i="48"/>
  <c r="C22" i="48"/>
  <c r="B22" i="48"/>
  <c r="D21" i="48"/>
  <c r="C21" i="48"/>
  <c r="B21" i="48"/>
  <c r="D16" i="48"/>
  <c r="C16" i="48"/>
  <c r="B16" i="48"/>
  <c r="D15" i="48"/>
  <c r="C15" i="48"/>
  <c r="B15" i="48"/>
  <c r="D14" i="48"/>
  <c r="C14" i="48"/>
  <c r="B14" i="48"/>
  <c r="D9" i="48"/>
  <c r="C9" i="48"/>
  <c r="B9" i="48"/>
  <c r="D8" i="48"/>
  <c r="C8" i="48"/>
  <c r="B8" i="48"/>
  <c r="D7" i="48"/>
  <c r="C7" i="48"/>
  <c r="B7" i="48"/>
  <c r="D52" i="47"/>
  <c r="C52" i="47"/>
  <c r="B52" i="47"/>
  <c r="D51" i="47"/>
  <c r="C51" i="47"/>
  <c r="B51" i="47"/>
  <c r="D50" i="47"/>
  <c r="C50" i="47"/>
  <c r="B50" i="47"/>
  <c r="D49" i="47"/>
  <c r="C49" i="47"/>
  <c r="B49" i="47"/>
  <c r="D48" i="47"/>
  <c r="C48" i="47"/>
  <c r="B48" i="47"/>
  <c r="D47" i="47"/>
  <c r="C47" i="47"/>
  <c r="B47" i="47"/>
  <c r="D43" i="47"/>
  <c r="C43" i="47"/>
  <c r="B43" i="47"/>
  <c r="D42" i="47"/>
  <c r="C42" i="47"/>
  <c r="B42" i="47"/>
  <c r="D41" i="47"/>
  <c r="C41" i="47"/>
  <c r="B41" i="47"/>
  <c r="D40" i="47"/>
  <c r="C40" i="47"/>
  <c r="B40" i="47"/>
  <c r="D39" i="47"/>
  <c r="C39" i="47"/>
  <c r="B39" i="47"/>
  <c r="D38" i="47"/>
  <c r="C38" i="47"/>
  <c r="B38" i="47"/>
  <c r="D28" i="47"/>
  <c r="C28" i="47"/>
  <c r="B28" i="47"/>
  <c r="D27" i="47"/>
  <c r="C27" i="47"/>
  <c r="B27" i="47"/>
  <c r="D23" i="47"/>
  <c r="C23" i="47"/>
  <c r="B23" i="47"/>
  <c r="D22" i="47"/>
  <c r="C22" i="47"/>
  <c r="B22" i="47"/>
  <c r="D21" i="47"/>
  <c r="C21" i="47"/>
  <c r="B21" i="47"/>
  <c r="D16" i="47"/>
  <c r="C16" i="47"/>
  <c r="B16" i="47"/>
  <c r="D15" i="47"/>
  <c r="C15" i="47"/>
  <c r="B15" i="47"/>
  <c r="D14" i="47"/>
  <c r="D18" i="47" s="1"/>
  <c r="C14" i="47"/>
  <c r="B14" i="47"/>
  <c r="D9" i="47"/>
  <c r="C9" i="47"/>
  <c r="B9" i="47"/>
  <c r="D8" i="47"/>
  <c r="C8" i="47"/>
  <c r="B8" i="47"/>
  <c r="D7" i="47"/>
  <c r="C7" i="47"/>
  <c r="B7" i="47"/>
  <c r="B7" i="46"/>
  <c r="B8" i="46"/>
  <c r="B9" i="46"/>
  <c r="D52" i="46"/>
  <c r="C52" i="46"/>
  <c r="B52" i="46"/>
  <c r="D51" i="46"/>
  <c r="C51" i="46"/>
  <c r="B51" i="46"/>
  <c r="D50" i="46"/>
  <c r="C50" i="46"/>
  <c r="B50" i="46"/>
  <c r="D49" i="46"/>
  <c r="C49" i="46"/>
  <c r="B49" i="46"/>
  <c r="D48" i="46"/>
  <c r="C48" i="46"/>
  <c r="B48" i="46"/>
  <c r="D47" i="46"/>
  <c r="C47" i="46"/>
  <c r="B47" i="46"/>
  <c r="D43" i="46"/>
  <c r="C43" i="46"/>
  <c r="B43" i="46"/>
  <c r="D42" i="46"/>
  <c r="C42" i="46"/>
  <c r="B42" i="46"/>
  <c r="D41" i="46"/>
  <c r="C41" i="46"/>
  <c r="B41" i="46"/>
  <c r="D40" i="46"/>
  <c r="C40" i="46"/>
  <c r="B40" i="46"/>
  <c r="D39" i="46"/>
  <c r="C39" i="46"/>
  <c r="B39" i="46"/>
  <c r="D38" i="46"/>
  <c r="C38" i="46"/>
  <c r="B38" i="46"/>
  <c r="D28" i="46"/>
  <c r="C28" i="46"/>
  <c r="B28" i="46"/>
  <c r="D27" i="46"/>
  <c r="C27" i="46"/>
  <c r="B27" i="46"/>
  <c r="D23" i="46"/>
  <c r="C23" i="46"/>
  <c r="B23" i="46"/>
  <c r="D22" i="46"/>
  <c r="C22" i="46"/>
  <c r="B22" i="46"/>
  <c r="D21" i="46"/>
  <c r="C21" i="46"/>
  <c r="B21" i="46"/>
  <c r="D16" i="46"/>
  <c r="C16" i="46"/>
  <c r="B16" i="46"/>
  <c r="D15" i="46"/>
  <c r="C15" i="46"/>
  <c r="B15" i="46"/>
  <c r="D14" i="46"/>
  <c r="C14" i="46"/>
  <c r="B14" i="46"/>
  <c r="D9" i="46"/>
  <c r="C9" i="46"/>
  <c r="D8" i="46"/>
  <c r="C8" i="46"/>
  <c r="D7" i="46"/>
  <c r="C7" i="46"/>
  <c r="D52" i="45"/>
  <c r="C52" i="45"/>
  <c r="B52" i="45"/>
  <c r="D51" i="45"/>
  <c r="C51" i="45"/>
  <c r="B51" i="45"/>
  <c r="D50" i="45"/>
  <c r="C50" i="45"/>
  <c r="B50" i="45"/>
  <c r="D49" i="45"/>
  <c r="C49" i="45"/>
  <c r="B49" i="45"/>
  <c r="D48" i="45"/>
  <c r="C48" i="45"/>
  <c r="B48" i="45"/>
  <c r="D47" i="45"/>
  <c r="C47" i="45"/>
  <c r="B47" i="45"/>
  <c r="D43" i="45"/>
  <c r="C43" i="45"/>
  <c r="B43" i="45"/>
  <c r="D42" i="45"/>
  <c r="C42" i="45"/>
  <c r="B42" i="45"/>
  <c r="D41" i="45"/>
  <c r="C41" i="45"/>
  <c r="B41" i="45"/>
  <c r="D40" i="45"/>
  <c r="C40" i="45"/>
  <c r="B40" i="45"/>
  <c r="D39" i="45"/>
  <c r="C39" i="45"/>
  <c r="B39" i="45"/>
  <c r="D38" i="45"/>
  <c r="C38" i="45"/>
  <c r="B38" i="45"/>
  <c r="D28" i="45"/>
  <c r="C28" i="45"/>
  <c r="B28" i="45"/>
  <c r="D27" i="45"/>
  <c r="C27" i="45"/>
  <c r="B27" i="45"/>
  <c r="D23" i="45"/>
  <c r="C23" i="45"/>
  <c r="B23" i="45"/>
  <c r="D22" i="45"/>
  <c r="C22" i="45"/>
  <c r="B22" i="45"/>
  <c r="D21" i="45"/>
  <c r="C21" i="45"/>
  <c r="B21" i="45"/>
  <c r="D16" i="45"/>
  <c r="C16" i="45"/>
  <c r="B16" i="45"/>
  <c r="D15" i="45"/>
  <c r="C15" i="45"/>
  <c r="B15" i="45"/>
  <c r="D14" i="45"/>
  <c r="D18" i="45" s="1"/>
  <c r="C14" i="45"/>
  <c r="B14" i="45"/>
  <c r="D9" i="45"/>
  <c r="C9" i="45"/>
  <c r="B9" i="45"/>
  <c r="D8" i="45"/>
  <c r="C8" i="45"/>
  <c r="B8" i="45"/>
  <c r="D7" i="45"/>
  <c r="D11" i="45" s="1"/>
  <c r="C7" i="45"/>
  <c r="B7" i="45"/>
  <c r="D52" i="44"/>
  <c r="C52" i="44"/>
  <c r="B52" i="44"/>
  <c r="D51" i="44"/>
  <c r="C51" i="44"/>
  <c r="B51" i="44"/>
  <c r="D50" i="44"/>
  <c r="C50" i="44"/>
  <c r="B50" i="44"/>
  <c r="D49" i="44"/>
  <c r="C49" i="44"/>
  <c r="B49" i="44"/>
  <c r="D48" i="44"/>
  <c r="C48" i="44"/>
  <c r="B48" i="44"/>
  <c r="D47" i="44"/>
  <c r="C47" i="44"/>
  <c r="B47" i="44"/>
  <c r="D43" i="44"/>
  <c r="C43" i="44"/>
  <c r="B43" i="44"/>
  <c r="D42" i="44"/>
  <c r="C42" i="44"/>
  <c r="B42" i="44"/>
  <c r="D41" i="44"/>
  <c r="C41" i="44"/>
  <c r="B41" i="44"/>
  <c r="D40" i="44"/>
  <c r="C40" i="44"/>
  <c r="B40" i="44"/>
  <c r="D39" i="44"/>
  <c r="C39" i="44"/>
  <c r="B39" i="44"/>
  <c r="D38" i="44"/>
  <c r="C38" i="44"/>
  <c r="B38" i="44"/>
  <c r="D28" i="44"/>
  <c r="C28" i="44"/>
  <c r="B28" i="44"/>
  <c r="D27" i="44"/>
  <c r="C27" i="44"/>
  <c r="B27" i="44"/>
  <c r="D23" i="44"/>
  <c r="C23" i="44"/>
  <c r="B23" i="44"/>
  <c r="D22" i="44"/>
  <c r="C22" i="44"/>
  <c r="B22" i="44"/>
  <c r="D21" i="44"/>
  <c r="C21" i="44"/>
  <c r="B21" i="44"/>
  <c r="D16" i="44"/>
  <c r="C16" i="44"/>
  <c r="B16" i="44"/>
  <c r="D15" i="44"/>
  <c r="C15" i="44"/>
  <c r="B15" i="44"/>
  <c r="D14" i="44"/>
  <c r="C14" i="44"/>
  <c r="B14" i="44"/>
  <c r="D9" i="44"/>
  <c r="C9" i="44"/>
  <c r="B9" i="44"/>
  <c r="D8" i="44"/>
  <c r="C8" i="44"/>
  <c r="B8" i="44"/>
  <c r="D7" i="44"/>
  <c r="C7" i="44"/>
  <c r="B7" i="44"/>
  <c r="D52" i="43"/>
  <c r="C52" i="43"/>
  <c r="B52" i="43"/>
  <c r="D51" i="43"/>
  <c r="C51" i="43"/>
  <c r="B51" i="43"/>
  <c r="D50" i="43"/>
  <c r="C50" i="43"/>
  <c r="B50" i="43"/>
  <c r="D49" i="43"/>
  <c r="C49" i="43"/>
  <c r="B49" i="43"/>
  <c r="D48" i="43"/>
  <c r="C48" i="43"/>
  <c r="B48" i="43"/>
  <c r="D47" i="43"/>
  <c r="C47" i="43"/>
  <c r="B47" i="43"/>
  <c r="D43" i="43"/>
  <c r="C43" i="43"/>
  <c r="B43" i="43"/>
  <c r="D42" i="43"/>
  <c r="C42" i="43"/>
  <c r="B42" i="43"/>
  <c r="D41" i="43"/>
  <c r="C41" i="43"/>
  <c r="B41" i="43"/>
  <c r="D40" i="43"/>
  <c r="C40" i="43"/>
  <c r="B40" i="43"/>
  <c r="D39" i="43"/>
  <c r="C39" i="43"/>
  <c r="B39" i="43"/>
  <c r="D38" i="43"/>
  <c r="C38" i="43"/>
  <c r="B38" i="43"/>
  <c r="C34" i="43"/>
  <c r="B34" i="43"/>
  <c r="C33" i="43"/>
  <c r="B33" i="43"/>
  <c r="C32" i="43"/>
  <c r="B32" i="43"/>
  <c r="D28" i="43"/>
  <c r="C28" i="43"/>
  <c r="B28" i="43"/>
  <c r="D27" i="43"/>
  <c r="C27" i="43"/>
  <c r="B27" i="43"/>
  <c r="D23" i="43"/>
  <c r="C23" i="43"/>
  <c r="B23" i="43"/>
  <c r="D22" i="43"/>
  <c r="C22" i="43"/>
  <c r="B22" i="43"/>
  <c r="D21" i="43"/>
  <c r="C21" i="43"/>
  <c r="B21" i="43"/>
  <c r="D16" i="43"/>
  <c r="C16" i="43"/>
  <c r="B16" i="43"/>
  <c r="D15" i="43"/>
  <c r="C15" i="43"/>
  <c r="B15" i="43"/>
  <c r="D14" i="43"/>
  <c r="C14" i="43"/>
  <c r="B14" i="43"/>
  <c r="D9" i="43"/>
  <c r="C9" i="43"/>
  <c r="B9" i="43"/>
  <c r="D8" i="43"/>
  <c r="C8" i="43"/>
  <c r="B8" i="43"/>
  <c r="D7" i="43"/>
  <c r="C7" i="43"/>
  <c r="B7" i="43"/>
  <c r="E29" i="51" l="1"/>
  <c r="A3" i="49"/>
  <c r="A3" i="48"/>
  <c r="A3" i="51"/>
  <c r="A3" i="46"/>
  <c r="A3" i="47"/>
  <c r="A3" i="44"/>
  <c r="A3" i="45"/>
  <c r="A3" i="13"/>
  <c r="A3" i="43"/>
  <c r="A2" i="55"/>
  <c r="E52" i="49"/>
  <c r="E17" i="50"/>
  <c r="E18" i="50" s="1"/>
  <c r="C17" i="49"/>
  <c r="C18" i="49" s="1"/>
  <c r="E49" i="49"/>
  <c r="E50" i="49"/>
  <c r="E29" i="50"/>
  <c r="C24" i="47"/>
  <c r="C35" i="43"/>
  <c r="E27" i="43"/>
  <c r="E42" i="43"/>
  <c r="D29" i="46"/>
  <c r="D10" i="44"/>
  <c r="D11" i="44" s="1"/>
  <c r="D29" i="44"/>
  <c r="C29" i="47"/>
  <c r="E48" i="47"/>
  <c r="C53" i="49"/>
  <c r="B10" i="43"/>
  <c r="B11" i="43" s="1"/>
  <c r="E7" i="48"/>
  <c r="E23" i="48"/>
  <c r="E10" i="50"/>
  <c r="E11" i="50" s="1"/>
  <c r="B17" i="43"/>
  <c r="B18" i="43" s="1"/>
  <c r="D29" i="43"/>
  <c r="E22" i="47"/>
  <c r="D17" i="43"/>
  <c r="E22" i="43"/>
  <c r="E51" i="43"/>
  <c r="E38" i="47"/>
  <c r="E21" i="48"/>
  <c r="E39" i="48"/>
  <c r="E50" i="48"/>
  <c r="C24" i="43"/>
  <c r="E10" i="51"/>
  <c r="E11" i="51" s="1"/>
  <c r="E24" i="51"/>
  <c r="B44" i="49"/>
  <c r="E51" i="44"/>
  <c r="E52" i="45"/>
  <c r="E28" i="46"/>
  <c r="E43" i="46"/>
  <c r="B24" i="49"/>
  <c r="C44" i="49"/>
  <c r="E48" i="49"/>
  <c r="E53" i="51"/>
  <c r="C53" i="48"/>
  <c r="E42" i="49"/>
  <c r="E47" i="49"/>
  <c r="E52" i="46"/>
  <c r="E7" i="47"/>
  <c r="E23" i="47"/>
  <c r="E52" i="47"/>
  <c r="D17" i="48"/>
  <c r="D18" i="48" s="1"/>
  <c r="E27" i="48"/>
  <c r="E42" i="48"/>
  <c r="D44" i="47"/>
  <c r="E47" i="47"/>
  <c r="C10" i="48"/>
  <c r="C11" i="48" s="1"/>
  <c r="E15" i="48"/>
  <c r="C29" i="48"/>
  <c r="E48" i="48"/>
  <c r="C24" i="49"/>
  <c r="E51" i="49"/>
  <c r="E47" i="44"/>
  <c r="D24" i="45"/>
  <c r="C29" i="45"/>
  <c r="E21" i="47"/>
  <c r="C53" i="47"/>
  <c r="E51" i="48"/>
  <c r="B10" i="46"/>
  <c r="B11" i="46" s="1"/>
  <c r="C44" i="48"/>
  <c r="C10" i="49"/>
  <c r="C11" i="49" s="1"/>
  <c r="C29" i="49"/>
  <c r="E44" i="50"/>
  <c r="E53" i="50"/>
  <c r="E44" i="51"/>
  <c r="E17" i="51"/>
  <c r="E18" i="51" s="1"/>
  <c r="E24" i="50"/>
  <c r="E41" i="48"/>
  <c r="E52" i="48"/>
  <c r="B17" i="48"/>
  <c r="B18" i="48" s="1"/>
  <c r="D44" i="48"/>
  <c r="E47" i="48"/>
  <c r="D53" i="48"/>
  <c r="B10" i="48"/>
  <c r="B11" i="48" s="1"/>
  <c r="C17" i="48"/>
  <c r="C18" i="48" s="1"/>
  <c r="D10" i="48"/>
  <c r="D11" i="48" s="1"/>
  <c r="B24" i="48"/>
  <c r="D29" i="48"/>
  <c r="E40" i="48"/>
  <c r="E9" i="48"/>
  <c r="C24" i="48"/>
  <c r="E28" i="48"/>
  <c r="E43" i="48"/>
  <c r="E16" i="48"/>
  <c r="D24" i="48"/>
  <c r="E38" i="48"/>
  <c r="E49" i="48"/>
  <c r="E40" i="49"/>
  <c r="E39" i="49"/>
  <c r="E43" i="49"/>
  <c r="E41" i="49"/>
  <c r="E28" i="49"/>
  <c r="E27" i="49"/>
  <c r="E23" i="49"/>
  <c r="E21" i="49"/>
  <c r="E16" i="49"/>
  <c r="E15" i="49"/>
  <c r="E9" i="49"/>
  <c r="E8" i="49"/>
  <c r="E7" i="49"/>
  <c r="D10" i="49"/>
  <c r="D11" i="49" s="1"/>
  <c r="D18" i="49"/>
  <c r="B10" i="49"/>
  <c r="B11" i="49" s="1"/>
  <c r="E14" i="49"/>
  <c r="E22" i="49"/>
  <c r="E38" i="49"/>
  <c r="B17" i="49"/>
  <c r="B18" i="49" s="1"/>
  <c r="B29" i="49"/>
  <c r="B53" i="49"/>
  <c r="B44" i="48"/>
  <c r="E8" i="48"/>
  <c r="E14" i="48"/>
  <c r="E22" i="48"/>
  <c r="B53" i="48"/>
  <c r="B29" i="48"/>
  <c r="E8" i="47"/>
  <c r="E15" i="47"/>
  <c r="D24" i="47"/>
  <c r="E42" i="47"/>
  <c r="D53" i="47"/>
  <c r="E9" i="47"/>
  <c r="D17" i="47"/>
  <c r="E28" i="47"/>
  <c r="E40" i="47"/>
  <c r="E51" i="47"/>
  <c r="D29" i="47"/>
  <c r="E16" i="47"/>
  <c r="E43" i="47"/>
  <c r="E49" i="47"/>
  <c r="B17" i="47"/>
  <c r="B18" i="47" s="1"/>
  <c r="C44" i="47"/>
  <c r="E41" i="47"/>
  <c r="C17" i="47"/>
  <c r="E27" i="47"/>
  <c r="E39" i="47"/>
  <c r="E50" i="47"/>
  <c r="B10" i="47"/>
  <c r="B11" i="47" s="1"/>
  <c r="B24" i="47"/>
  <c r="B44" i="47"/>
  <c r="C10" i="47"/>
  <c r="C11" i="47" s="1"/>
  <c r="C18" i="47"/>
  <c r="D10" i="47"/>
  <c r="D11" i="47" s="1"/>
  <c r="E14" i="47"/>
  <c r="B29" i="47"/>
  <c r="B53" i="47"/>
  <c r="E48" i="43"/>
  <c r="C17" i="45"/>
  <c r="E52" i="44"/>
  <c r="E8" i="45"/>
  <c r="E27" i="45"/>
  <c r="E42" i="45"/>
  <c r="D53" i="45"/>
  <c r="B17" i="46"/>
  <c r="B18" i="46" s="1"/>
  <c r="D53" i="43"/>
  <c r="D44" i="44"/>
  <c r="C10" i="45"/>
  <c r="E15" i="45"/>
  <c r="D10" i="43"/>
  <c r="D11" i="43" s="1"/>
  <c r="D24" i="43"/>
  <c r="E49" i="43"/>
  <c r="D29" i="45"/>
  <c r="E40" i="45"/>
  <c r="E51" i="45"/>
  <c r="D17" i="46"/>
  <c r="D18" i="46" s="1"/>
  <c r="E27" i="46"/>
  <c r="E42" i="46"/>
  <c r="D53" i="46"/>
  <c r="E9" i="46"/>
  <c r="E52" i="43"/>
  <c r="B10" i="44"/>
  <c r="B11" i="44" s="1"/>
  <c r="E27" i="44"/>
  <c r="E42" i="44"/>
  <c r="D53" i="44"/>
  <c r="D24" i="46"/>
  <c r="C29" i="46"/>
  <c r="D44" i="43"/>
  <c r="E15" i="44"/>
  <c r="C29" i="44"/>
  <c r="E48" i="44"/>
  <c r="E16" i="45"/>
  <c r="E49" i="45"/>
  <c r="C10" i="46"/>
  <c r="C11" i="46" s="1"/>
  <c r="B24" i="46"/>
  <c r="E40" i="46"/>
  <c r="E51" i="46"/>
  <c r="E15" i="46"/>
  <c r="E48" i="46"/>
  <c r="C24" i="46"/>
  <c r="E16" i="46"/>
  <c r="B44" i="46"/>
  <c r="E49" i="46"/>
  <c r="E7" i="46"/>
  <c r="E23" i="46"/>
  <c r="C44" i="46"/>
  <c r="E41" i="46"/>
  <c r="D44" i="46"/>
  <c r="E47" i="46"/>
  <c r="C17" i="46"/>
  <c r="C18" i="46" s="1"/>
  <c r="E21" i="46"/>
  <c r="E39" i="46"/>
  <c r="C53" i="46"/>
  <c r="E50" i="46"/>
  <c r="D10" i="46"/>
  <c r="D11" i="46" s="1"/>
  <c r="E8" i="46"/>
  <c r="E14" i="46"/>
  <c r="E22" i="46"/>
  <c r="E38" i="46"/>
  <c r="B53" i="46"/>
  <c r="B29" i="46"/>
  <c r="E48" i="45"/>
  <c r="B24" i="45"/>
  <c r="E9" i="45"/>
  <c r="D17" i="45"/>
  <c r="C24" i="45"/>
  <c r="E28" i="45"/>
  <c r="E43" i="45"/>
  <c r="B44" i="45"/>
  <c r="E7" i="45"/>
  <c r="E11" i="45" s="1"/>
  <c r="E23" i="45"/>
  <c r="C44" i="45"/>
  <c r="E41" i="45"/>
  <c r="D44" i="45"/>
  <c r="E47" i="45"/>
  <c r="E21" i="45"/>
  <c r="E39" i="45"/>
  <c r="C53" i="45"/>
  <c r="E50" i="45"/>
  <c r="C11" i="45"/>
  <c r="B10" i="45"/>
  <c r="B11" i="45" s="1"/>
  <c r="C18" i="45"/>
  <c r="D10" i="45"/>
  <c r="E14" i="45"/>
  <c r="E22" i="45"/>
  <c r="E38" i="45"/>
  <c r="B53" i="45"/>
  <c r="B17" i="45"/>
  <c r="B18" i="45" s="1"/>
  <c r="B29" i="45"/>
  <c r="E22" i="44"/>
  <c r="E40" i="44"/>
  <c r="C10" i="44"/>
  <c r="C11" i="44" s="1"/>
  <c r="E9" i="44"/>
  <c r="C24" i="44"/>
  <c r="E28" i="44"/>
  <c r="E43" i="44"/>
  <c r="E16" i="44"/>
  <c r="D24" i="44"/>
  <c r="E38" i="44"/>
  <c r="E49" i="44"/>
  <c r="D17" i="44"/>
  <c r="D18" i="44" s="1"/>
  <c r="E7" i="44"/>
  <c r="E23" i="44"/>
  <c r="C44" i="44"/>
  <c r="E41" i="44"/>
  <c r="E21" i="44"/>
  <c r="E39" i="44"/>
  <c r="C53" i="44"/>
  <c r="E50" i="44"/>
  <c r="B24" i="44"/>
  <c r="B44" i="44"/>
  <c r="E8" i="44"/>
  <c r="E14" i="44"/>
  <c r="B17" i="44"/>
  <c r="B18" i="44" s="1"/>
  <c r="B29" i="44"/>
  <c r="B53" i="44"/>
  <c r="C17" i="44"/>
  <c r="C18" i="44" s="1"/>
  <c r="C10" i="43"/>
  <c r="C11" i="43" s="1"/>
  <c r="E15" i="43"/>
  <c r="C29" i="43"/>
  <c r="E40" i="43"/>
  <c r="E9" i="43"/>
  <c r="E28" i="43"/>
  <c r="E43" i="43"/>
  <c r="E16" i="43"/>
  <c r="E38" i="43"/>
  <c r="E7" i="43"/>
  <c r="E23" i="43"/>
  <c r="C44" i="43"/>
  <c r="E41" i="43"/>
  <c r="B35" i="43"/>
  <c r="E47" i="43"/>
  <c r="C17" i="43"/>
  <c r="C18" i="43" s="1"/>
  <c r="E21" i="43"/>
  <c r="E39" i="43"/>
  <c r="C53" i="43"/>
  <c r="E50" i="43"/>
  <c r="B24" i="43"/>
  <c r="B44" i="43"/>
  <c r="D18" i="43"/>
  <c r="E8" i="43"/>
  <c r="E14" i="43"/>
  <c r="B29" i="43"/>
  <c r="B53" i="43"/>
  <c r="E29" i="46" l="1"/>
  <c r="A4" i="49"/>
  <c r="A4" i="50"/>
  <c r="A4" i="48"/>
  <c r="A4" i="51"/>
  <c r="A4" i="46"/>
  <c r="A4" i="47"/>
  <c r="A4" i="44"/>
  <c r="A4" i="45"/>
  <c r="A4" i="13"/>
  <c r="A4" i="43"/>
  <c r="A3" i="55"/>
  <c r="E24" i="48"/>
  <c r="E29" i="48"/>
  <c r="E29" i="49"/>
  <c r="E29" i="43"/>
  <c r="E29" i="44"/>
  <c r="E53" i="44"/>
  <c r="E44" i="47"/>
  <c r="E10" i="48"/>
  <c r="E11" i="48" s="1"/>
  <c r="E53" i="46"/>
  <c r="E24" i="47"/>
  <c r="E53" i="43"/>
  <c r="E53" i="47"/>
  <c r="E24" i="49"/>
  <c r="E10" i="47"/>
  <c r="E11" i="47" s="1"/>
  <c r="E53" i="49"/>
  <c r="E10" i="43"/>
  <c r="E11" i="43" s="1"/>
  <c r="E24" i="45"/>
  <c r="E24" i="43"/>
  <c r="E53" i="45"/>
  <c r="E29" i="45"/>
  <c r="E53" i="48"/>
  <c r="E44" i="48"/>
  <c r="E44" i="43"/>
  <c r="E10" i="49"/>
  <c r="E11" i="49" s="1"/>
  <c r="E44" i="49"/>
  <c r="E17" i="49"/>
  <c r="E18" i="49" s="1"/>
  <c r="E17" i="48"/>
  <c r="E18" i="48" s="1"/>
  <c r="E29" i="47"/>
  <c r="E17" i="47"/>
  <c r="E18" i="47" s="1"/>
  <c r="E44" i="45"/>
  <c r="E44" i="46"/>
  <c r="E24" i="46"/>
  <c r="E24" i="44"/>
  <c r="E44" i="44"/>
  <c r="E10" i="46"/>
  <c r="E11" i="46" s="1"/>
  <c r="E17" i="46"/>
  <c r="E18" i="46" s="1"/>
  <c r="E10" i="45"/>
  <c r="E17" i="45"/>
  <c r="E18" i="45"/>
  <c r="E10" i="44"/>
  <c r="E11" i="44" s="1"/>
  <c r="E17" i="44"/>
  <c r="E18" i="44" s="1"/>
  <c r="E17" i="43"/>
  <c r="E18" i="43" s="1"/>
  <c r="C32" i="13" l="1"/>
  <c r="C33" i="13"/>
  <c r="C34" i="13"/>
  <c r="C35" i="13" l="1"/>
  <c r="B32" i="13" l="1"/>
  <c r="B33" i="13"/>
  <c r="B34" i="13"/>
  <c r="D47" i="13"/>
  <c r="D48" i="13"/>
  <c r="D49" i="13"/>
  <c r="D50" i="13"/>
  <c r="D51" i="13"/>
  <c r="D52" i="13"/>
  <c r="C47" i="13"/>
  <c r="C48" i="13"/>
  <c r="C49" i="13"/>
  <c r="C50" i="13"/>
  <c r="C51" i="13"/>
  <c r="C52" i="13"/>
  <c r="B47" i="13"/>
  <c r="B48" i="13"/>
  <c r="B49" i="13"/>
  <c r="B50" i="13"/>
  <c r="B51" i="13"/>
  <c r="B52" i="13"/>
  <c r="D38" i="13"/>
  <c r="D39" i="13"/>
  <c r="D40" i="13"/>
  <c r="D41" i="13"/>
  <c r="D42" i="13"/>
  <c r="D43" i="13"/>
  <c r="C38" i="13"/>
  <c r="C39" i="13"/>
  <c r="C40" i="13"/>
  <c r="C41" i="13"/>
  <c r="C42" i="13"/>
  <c r="C43" i="13"/>
  <c r="B38" i="13"/>
  <c r="B39" i="13"/>
  <c r="B40" i="13"/>
  <c r="B41" i="13"/>
  <c r="B42" i="13"/>
  <c r="B43" i="13"/>
  <c r="D27" i="13"/>
  <c r="D28" i="13"/>
  <c r="C27" i="13"/>
  <c r="C28" i="13"/>
  <c r="B27" i="13"/>
  <c r="B28" i="13"/>
  <c r="D21" i="13"/>
  <c r="D22" i="13"/>
  <c r="D23" i="13"/>
  <c r="C21" i="13"/>
  <c r="C22" i="13"/>
  <c r="C23" i="13"/>
  <c r="B21" i="13"/>
  <c r="B22" i="13"/>
  <c r="B23" i="13"/>
  <c r="D14" i="13"/>
  <c r="D15" i="13"/>
  <c r="D16" i="13"/>
  <c r="C14" i="13"/>
  <c r="C15" i="13"/>
  <c r="C16" i="13"/>
  <c r="B14" i="13"/>
  <c r="B15" i="13"/>
  <c r="B16" i="13"/>
  <c r="D7" i="13"/>
  <c r="D8" i="13"/>
  <c r="D9" i="13"/>
  <c r="C7" i="13"/>
  <c r="C8" i="13"/>
  <c r="C9" i="13"/>
  <c r="B7" i="13"/>
  <c r="B8" i="13"/>
  <c r="B9" i="13"/>
  <c r="B35" i="13" l="1"/>
  <c r="D53" i="13"/>
  <c r="C53" i="13"/>
  <c r="B53" i="13"/>
  <c r="E43" i="13"/>
  <c r="E41" i="13"/>
  <c r="E38" i="13"/>
  <c r="E22" i="13"/>
  <c r="E23" i="13"/>
  <c r="E21" i="13"/>
  <c r="E42" i="13"/>
  <c r="E28" i="13"/>
  <c r="E40" i="13"/>
  <c r="E39" i="13"/>
  <c r="E27" i="13"/>
  <c r="B24" i="13"/>
  <c r="E16" i="13"/>
  <c r="E9" i="13"/>
  <c r="E15" i="13"/>
  <c r="E14" i="13"/>
  <c r="E8" i="13"/>
  <c r="B10" i="13"/>
  <c r="B11" i="13" s="1"/>
  <c r="D10" i="13"/>
  <c r="D11" i="13" s="1"/>
  <c r="C10" i="13"/>
  <c r="C11" i="13" s="1"/>
  <c r="E7" i="13"/>
  <c r="D44" i="13" l="1"/>
  <c r="C44" i="13"/>
  <c r="B44" i="13"/>
  <c r="D29" i="13"/>
  <c r="C29" i="13"/>
  <c r="B29" i="13"/>
  <c r="D24" i="13"/>
  <c r="C24" i="13"/>
  <c r="D17" i="13"/>
  <c r="D18" i="13" s="1"/>
  <c r="C17" i="13"/>
  <c r="C18" i="13" s="1"/>
  <c r="B17" i="13"/>
  <c r="B18" i="13" s="1"/>
  <c r="E17" i="13" l="1"/>
  <c r="E18" i="13" s="1"/>
  <c r="E47" i="13" l="1"/>
  <c r="E52" i="13"/>
  <c r="E51" i="13"/>
  <c r="E50" i="13"/>
  <c r="E49" i="13"/>
  <c r="E48" i="13"/>
  <c r="E44" i="13"/>
  <c r="E10" i="13"/>
  <c r="E11" i="13" s="1"/>
  <c r="E53" i="13" l="1"/>
  <c r="E24" i="13"/>
  <c r="E29" i="13"/>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<sst xmlns="http://schemas.openxmlformats.org/spreadsheetml/2006/main" count="1537" uniqueCount="229">
  <si>
    <t>NA</t>
  </si>
  <si>
    <t>C</t>
  </si>
  <si>
    <t>TH</t>
  </si>
  <si>
    <t>ES</t>
  </si>
  <si>
    <t>RRH</t>
  </si>
  <si>
    <t>PSH</t>
  </si>
  <si>
    <t>U</t>
  </si>
  <si>
    <t>OPH</t>
  </si>
  <si>
    <t>DV</t>
  </si>
  <si>
    <t>Yes</t>
  </si>
  <si>
    <t>HIV</t>
  </si>
  <si>
    <t>SH</t>
  </si>
  <si>
    <t>No</t>
  </si>
  <si>
    <t>CoC</t>
  </si>
  <si>
    <t>Victim Service Provider</t>
  </si>
  <si>
    <t>HOPWAMedAssistedLivingFac</t>
  </si>
  <si>
    <t>sandyRelatedNote</t>
  </si>
  <si>
    <t>sandyRelated</t>
  </si>
  <si>
    <t>projectNotes</t>
  </si>
  <si>
    <t>notes</t>
  </si>
  <si>
    <t>Updated On</t>
  </si>
  <si>
    <t>Total Beds</t>
  </si>
  <si>
    <t>O/V Beds</t>
  </si>
  <si>
    <t>Availability End Date</t>
  </si>
  <si>
    <t>Availability Start Date</t>
  </si>
  <si>
    <t>Total Seasonal Beds</t>
  </si>
  <si>
    <t>Year-Round Beds</t>
  </si>
  <si>
    <t>CH Beds HH w only Children</t>
  </si>
  <si>
    <t>Beds HH w/ only Children</t>
  </si>
  <si>
    <t>CH Beds HH w/o Children</t>
  </si>
  <si>
    <t>Youth Beds HH w/o Children</t>
  </si>
  <si>
    <t>Veteran Beds HH w/o Children</t>
  </si>
  <si>
    <t>Beds HH w/o Children</t>
  </si>
  <si>
    <t>CH Beds HH w/ Children</t>
  </si>
  <si>
    <t>Youth Beds HH w/ Children</t>
  </si>
  <si>
    <t>Veteran Beds HH w/ Children</t>
  </si>
  <si>
    <t>Units HH w/ Children</t>
  </si>
  <si>
    <t>Beds HH w/ Children</t>
  </si>
  <si>
    <t>zip</t>
  </si>
  <si>
    <t>state</t>
  </si>
  <si>
    <t>city</t>
  </si>
  <si>
    <t>address2</t>
  </si>
  <si>
    <t>address1</t>
  </si>
  <si>
    <t>federalFundingOtherSpecify</t>
  </si>
  <si>
    <t>federalFundingOther</t>
  </si>
  <si>
    <t>federalFundingIndianEhv</t>
  </si>
  <si>
    <t>federalFundingHomeArp</t>
  </si>
  <si>
    <t>federalFundingHome</t>
  </si>
  <si>
    <t>federalFundingPih</t>
  </si>
  <si>
    <t>federalFundingHopwaCovid</t>
  </si>
  <si>
    <t>federalFundingHopwaTh</t>
  </si>
  <si>
    <t>federalFundingHopwaStsf</t>
  </si>
  <si>
    <t>federalFundingHopwaPh</t>
  </si>
  <si>
    <t>federalFundingHopwaHmv</t>
  </si>
  <si>
    <t>federalFundingRhyDp</t>
  </si>
  <si>
    <t>federalFundingMgh</t>
  </si>
  <si>
    <t>federalFundingTlp</t>
  </si>
  <si>
    <t>federalFundingBcp</t>
  </si>
  <si>
    <t>federalFundingHchvSh</t>
  </si>
  <si>
    <t>federalFundingHchvCrs</t>
  </si>
  <si>
    <t>federalFundingGpdTp</t>
  </si>
  <si>
    <t>federalFundingGpdSith</t>
  </si>
  <si>
    <t>federalFundingGpdCt</t>
  </si>
  <si>
    <t>federalFundingGpdHh</t>
  </si>
  <si>
    <t>federalFundingGpdLd</t>
  </si>
  <si>
    <t>federalFundingGpdBh</t>
  </si>
  <si>
    <t>federalFundingSsvf</t>
  </si>
  <si>
    <t>federalFundingVash</t>
  </si>
  <si>
    <t>mcKinneyVentoYhdpRenewals</t>
  </si>
  <si>
    <t>mcKinneyVentoYhdp</t>
  </si>
  <si>
    <t>mcKinneyVentoShp</t>
  </si>
  <si>
    <t>mcKinneyVentoS8</t>
  </si>
  <si>
    <t>mcKinneyVentoSpC</t>
  </si>
  <si>
    <t>mcKinneyVentoCocThRrh</t>
  </si>
  <si>
    <t>mcKinneyVentoCocSro</t>
  </si>
  <si>
    <t>mcKinneyVentoCocRrh</t>
  </si>
  <si>
    <t>mcKinneyVentoCocPsh</t>
  </si>
  <si>
    <t>mcKinneyVentoCocTh</t>
  </si>
  <si>
    <t>mcKinneyVentoCocSh</t>
  </si>
  <si>
    <t>mcKinneyVentoEsgCov</t>
  </si>
  <si>
    <t>mcKinneyVentoEsgRrh</t>
  </si>
  <si>
    <t>mcKinneyVentoEsgEs</t>
  </si>
  <si>
    <t>Target Population</t>
  </si>
  <si>
    <t>Inventory Type</t>
  </si>
  <si>
    <t>HMIS Participating</t>
  </si>
  <si>
    <t>Bed Type</t>
  </si>
  <si>
    <t>Project Type</t>
  </si>
  <si>
    <t>HIC Date</t>
  </si>
  <si>
    <t>HMIS Project ID</t>
  </si>
  <si>
    <t>Project Name</t>
  </si>
  <si>
    <t>HMIS Org ID</t>
  </si>
  <si>
    <t>Organization Name</t>
  </si>
  <si>
    <t>Status</t>
  </si>
  <si>
    <t>HudNum</t>
  </si>
  <si>
    <t>CocState</t>
  </si>
  <si>
    <t>Row #</t>
  </si>
  <si>
    <t>Households without Children</t>
  </si>
  <si>
    <t>Households with Children</t>
  </si>
  <si>
    <t>Households with only Children</t>
  </si>
  <si>
    <t>Total Year-Round Beds</t>
  </si>
  <si>
    <t>Total</t>
  </si>
  <si>
    <t>HMIS Bed Coverage Rate</t>
  </si>
  <si>
    <t>Beds by HMIS Participation</t>
  </si>
  <si>
    <t>Beds by Inventory Type</t>
  </si>
  <si>
    <t>Beds by Target Population</t>
  </si>
  <si>
    <t>Current Beds</t>
  </si>
  <si>
    <t>Under Development Beds</t>
  </si>
  <si>
    <t>HMIS Beds</t>
  </si>
  <si>
    <t>Non-HMIS Beds</t>
  </si>
  <si>
    <t>Total Seasonal Beds (Regardless of Availability)</t>
  </si>
  <si>
    <t>Seasonal/Overflow Beds</t>
  </si>
  <si>
    <t>*</t>
  </si>
  <si>
    <t>HIC Summary Report</t>
  </si>
  <si>
    <t>Non-VSP HMIS Beds</t>
  </si>
  <si>
    <t>Non-VSP, Non-HMIS Beds</t>
  </si>
  <si>
    <t>Comparable</t>
  </si>
  <si>
    <t>Pit Count</t>
  </si>
  <si>
    <t>Housing Type</t>
  </si>
  <si>
    <t>mcKinneyVentoRural</t>
  </si>
  <si>
    <t>mcKinneyVentoUnshelt</t>
  </si>
  <si>
    <t>mcKinneyVentoEsgRUSH</t>
  </si>
  <si>
    <t>Inventory Start Date</t>
  </si>
  <si>
    <t>Geocode</t>
  </si>
  <si>
    <t>Year</t>
  </si>
  <si>
    <t>All Beds by Project Type</t>
  </si>
  <si>
    <t>HMIS Beds by Project Type</t>
  </si>
  <si>
    <t>Total Overflow Beds</t>
  </si>
  <si>
    <t>Non-VSP* Beds by HMIS Participation</t>
  </si>
  <si>
    <t>HMIS Bed Coverage Rate**</t>
  </si>
  <si>
    <t>Non-VSP Comp. Database Beds</t>
  </si>
  <si>
    <t>Comp. Database Beds</t>
  </si>
  <si>
    <t>Veteran Beds Summary</t>
  </si>
  <si>
    <t>Youth Beds Summary</t>
  </si>
  <si>
    <t>Chronic Beds Summary</t>
  </si>
  <si>
    <t>Filename:</t>
  </si>
  <si>
    <t>Produced:</t>
  </si>
  <si>
    <t>Expected Variables In Raw Export</t>
  </si>
  <si>
    <t>Common Name</t>
  </si>
  <si>
    <t>Note on this Template</t>
  </si>
  <si>
    <t>How To Populate This Template</t>
  </si>
  <si>
    <t>Additional Notes</t>
  </si>
  <si>
    <t>Count of Variables in HicRawData</t>
  </si>
  <si>
    <t>Count of Unique Variables in Pasted Data</t>
  </si>
  <si>
    <t>Count of Expected Variables Appearing in Pasted Data</t>
  </si>
  <si>
    <t>Variables Do Not Repeat in Pasted Data</t>
  </si>
  <si>
    <t>All Expected Variables Appearing In Pasted Data</t>
  </si>
  <si>
    <t>Total Count of Variables in HicRawData Table</t>
  </si>
  <si>
    <t>Expected Number of Variables in HicRawData</t>
  </si>
  <si>
    <t>Count of non-blank data in 'Row #' of HicRawData</t>
  </si>
  <si>
    <t>Row #' Field has non-blank data</t>
  </si>
  <si>
    <t>All Reference Fields Non Zero</t>
  </si>
  <si>
    <t>Operating Start Date</t>
  </si>
  <si>
    <t>Operating End Date</t>
  </si>
  <si>
    <t>HIC_Summary_Report_Template_v1.0.4.xlsx</t>
  </si>
  <si>
    <t>FL</t>
  </si>
  <si>
    <t>Tallahassee/Leon County CoC</t>
  </si>
  <si>
    <t>FL-506</t>
  </si>
  <si>
    <t>Submitted</t>
  </si>
  <si>
    <t>FL506 - BBCoC: Refuge House (SH)</t>
  </si>
  <si>
    <t>FL506 - BBCoC: Refuge House - Extended Stay (TH)</t>
  </si>
  <si>
    <t>#129073</t>
  </si>
  <si>
    <t>SB-S</t>
  </si>
  <si>
    <t>#32303</t>
  </si>
  <si>
    <t>FL506 - BBCoC: Refuge House - Townhome Village (TH)</t>
  </si>
  <si>
    <t>FL506 - BBCoC: Family Promise of the Big Bend</t>
  </si>
  <si>
    <t>FL506 - BBCoC: Family Promise - SSVF Rapid Rehousing (RRH)</t>
  </si>
  <si>
    <t>TB</t>
  </si>
  <si>
    <t>325 John Knox</t>
  </si>
  <si>
    <t>Tallahassee</t>
  </si>
  <si>
    <t>FL506 - BBCoC: Family Promise - Home Base (HUD-CoC) (RRH)</t>
  </si>
  <si>
    <t>2729 W Pensacola St</t>
  </si>
  <si>
    <t>FL506 - BBCoC: CCYS</t>
  </si>
  <si>
    <t>FL506 - BBCoC: CCYS - Someplace Else Crisis Youth Shelter (ES)</t>
  </si>
  <si>
    <t>F</t>
  </si>
  <si>
    <t>2407 Roberts Ave</t>
  </si>
  <si>
    <t>#32310</t>
  </si>
  <si>
    <t>The PIT number/utilization percentage is correct. This youth shelter experiences fluctuating occupancy due to the transient nature of this population. PIT night fell during a period of reduced engagement, common in January, and several youth declined placement or delayed intake due to personal or safety concerns. While only 7 of 12 beds were filled that night, demand typically varies and the beds remain essential for ongoing service capacity.</t>
  </si>
  <si>
    <t>FL506 - BBCoC: Catholic Charities</t>
  </si>
  <si>
    <t>FL506 - BBCoC: Catholic Charities - Rapid Rehousing (DCF Challenge) (RRH)</t>
  </si>
  <si>
    <t>DCF Challenge</t>
  </si>
  <si>
    <t>1380 Blountstown Hwy</t>
  </si>
  <si>
    <t>#32304</t>
  </si>
  <si>
    <t>FL506 - BBCoC: CESC - Emergency Shelter (singles) (ES)</t>
  </si>
  <si>
    <t>2650 Municipal Wy</t>
  </si>
  <si>
    <t>FL506 - BBCoC: VA - HUD VASH (Scattered Site) (PSH)</t>
  </si>
  <si>
    <t>2729 W. Pensacola</t>
  </si>
  <si>
    <t>FL506 - BBCoC: Tallahassee Veterans Village (TH)</t>
  </si>
  <si>
    <t>SB-C</t>
  </si>
  <si>
    <t>1280 Kissimmee Street</t>
  </si>
  <si>
    <t>FL506 - BBCoC: Brehon Institute (TH)</t>
  </si>
  <si>
    <t>1315 Linda Ann Dr</t>
  </si>
  <si>
    <t>#32301</t>
  </si>
  <si>
    <t>FL506 - BBCoC: Ability 1st</t>
  </si>
  <si>
    <t>FL506 - BBCoC: Ability 1st - APCH_Individuals (PSH)</t>
  </si>
  <si>
    <t>Local</t>
  </si>
  <si>
    <t>1823 Buford Ct</t>
  </si>
  <si>
    <t>FL506 - BBCoC: Ability 1st - APCH_Families (PSH)</t>
  </si>
  <si>
    <t>various</t>
  </si>
  <si>
    <t>FL506 - BBCoC: Family Promise - HOPE Community Family ES (ES)</t>
  </si>
  <si>
    <t>FL506-86</t>
  </si>
  <si>
    <t>2729 W. Pensacola St.</t>
  </si>
  <si>
    <t>This Emergency Shelter operates with family rooms containing four beds each. To protect client privacy and reduce trauma, rooms are not shared by unrelated households. As a result, some beds were unoccupied on PIT night despite available capacity. The CoC is working with the provider to explore reconfiguring room use, adjusting policies, and aligning operational practices to improve utilization while maintaining trauma-informed care.</t>
  </si>
  <si>
    <t>FL506 - BBCoC: Family Promise - Home Place at Balkin (PSH)</t>
  </si>
  <si>
    <t>#32305</t>
  </si>
  <si>
    <t>FL506 - BBCoC: Family Promise - Home Plate (CoC-PSH)</t>
  </si>
  <si>
    <t>325 John Knox Road, Bldg B</t>
  </si>
  <si>
    <t>FL506 - BBCoC: Refuge House - Leon (ES)</t>
  </si>
  <si>
    <t>FL506 - BBCoC: Refuge House - Taylor Co (ES)</t>
  </si>
  <si>
    <t>#32357</t>
  </si>
  <si>
    <t>FL506 - BBCoC: CCYS - Transitional Living Program (TH)</t>
  </si>
  <si>
    <t>This program entered planned program/bed count reduction just before our PIT night, to better align with local funding. While the bed count did not officially change until after PIT, program staff did not conduct intakes for the two weeks prior to our PIT date, resulting in lower utilization.</t>
  </si>
  <si>
    <t>FL506 - BBCoC: Refuge House - Scattered Site (TH)</t>
  </si>
  <si>
    <t>FL506 - BBCoC: Ability 1st - Rapid Rehousing (DCF-ESG-CV3) (RRH)</t>
  </si>
  <si>
    <t>2507 Calloway Road</t>
  </si>
  <si>
    <t>#200</t>
  </si>
  <si>
    <t>FL506 - BBCoC: Ability 1st - Rapid Rehousing (Challenge) (RRH)</t>
  </si>
  <si>
    <t>1823 Buford Court</t>
  </si>
  <si>
    <t>#32308</t>
  </si>
  <si>
    <t>FL506 - BBCoC: Catholic Charities - Rapid Rehousing (Challenge 1) (RRH)</t>
  </si>
  <si>
    <t>DCF Challenge Plus</t>
  </si>
  <si>
    <t>FL506 - BBCoC: Catholic Charities - Rapid Rehousing (Challenge 2) (RRH)</t>
  </si>
  <si>
    <t>FL506 - BBCoC: Big Bend Cares</t>
  </si>
  <si>
    <t>FL506 - BBCoC: Big Bend Cares - SURE (HRSA RWHAP) Rapid Rehousing (RRH)</t>
  </si>
  <si>
    <t>Big Bend Cares RRH</t>
  </si>
  <si>
    <t>local</t>
  </si>
  <si>
    <t>FL506 - BBCoC: CCYS  - ES Hotel Vouchers (DCF Challenge) (ES)</t>
  </si>
  <si>
    <t>CCYS ES Hotel Vouchers (DCF Challenge)</t>
  </si>
  <si>
    <t>V</t>
  </si>
  <si>
    <t>DCF Challenge - BPZ12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</si>
</sst>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1010409]General"/>
    <numFmt numFmtId="165" formatCode="0.0%"/>
    <numFmt numFmtId="166" formatCode="#,##0.0"/>
  </numFmts>
  <fonts count="24" x14ac:knownFonts="1">
    <font>
      <sz val="11"/>
      <color theme="1"/>
      <name val="Calibri"/>
      <family val="2"/>
      <scheme val="minor"/>
    </font>
    <font>
      <sz val="11"/>
      <color theme="1"/>
      <name val="Aptos"/>
      <family val="2"/>
    </font>
    <font>
      <sz val="10"/>
      <name val="Arial"/>
      <family val="2"/>
    </font>
    <font>
      <sz val="14"/>
      <color indexed="56"/>
      <name val="Aptos Narrow"/>
      <family val="2"/>
    </font>
    <font>
      <sz val="11"/>
      <color theme="1"/>
      <name val="Aptos Narrow"/>
      <family val="2"/>
    </font>
    <font>
      <b/>
      <sz val="11"/>
      <color theme="1"/>
      <name val="Aptos Narrow"/>
      <family val="2"/>
    </font>
    <font>
      <sz val="13"/>
      <color theme="0"/>
      <name val="Aptos Narrow"/>
      <family val="2"/>
    </font>
    <font>
      <sz val="11"/>
      <color theme="0" tint="-0.249977111117893"/>
      <name val="Aptos Narrow"/>
      <family val="2"/>
    </font>
    <font>
      <sz val="11"/>
      <color rgb="FF000000"/>
      <name val="Aptos Narrow"/>
      <family val="2"/>
    </font>
    <font>
      <sz val="11"/>
      <color theme="1"/>
      <name val="Calibri"/>
      <family val="2"/>
      <scheme val="minor"/>
    </font>
    <font>
      <b/>
      <sz val="18"/>
      <color theme="1"/>
      <name val="Aptos Narrow"/>
      <family val="2"/>
    </font>
    <font>
      <b/>
      <u/>
      <sz val="15"/>
      <color theme="1"/>
      <name val="Aptos Narrow"/>
      <family val="2"/>
    </font>
    <font>
      <sz val="13"/>
      <color theme="1"/>
      <name val="Aptos Narrow"/>
      <family val="2"/>
    </font>
    <font>
      <sz val="11"/>
      <name val="Aptos Narrow"/>
      <family val="2"/>
    </font>
    <font>
      <b/>
      <sz val="11"/>
      <name val="Aptos Narrow"/>
      <family val="2"/>
    </font>
    <font>
      <sz val="11"/>
      <color rgb="FF000000"/>
      <name val="Calibri"/>
      <family val="2"/>
      <scheme val="minor"/>
    </font>
    <font>
      <sz val="11"/>
      <color rgb="FFFFFFFF"/>
      <name val="Calibri"/>
      <family val="2"/>
      <scheme val="minor"/>
    </font>
    <font>
      <b/>
      <sz val="16"/>
      <color theme="1"/>
      <name val="Aptos Narrow"/>
      <family val="2"/>
    </font>
    <font>
      <b/>
      <sz val="16"/>
      <name val="Aptos Narrow"/>
      <family val="2"/>
    </font>
    <font>
      <b/>
      <sz val="14"/>
      <name val="Aptos Narrow"/>
      <family val="2"/>
    </font>
    <font>
      <b/>
      <sz val="15"/>
      <name val="Aptos Narrow"/>
      <family val="2"/>
    </font>
    <font>
      <u/>
      <sz val="15"/>
      <color theme="1"/>
      <name val="Calibri"/>
      <family val="2"/>
      <scheme val="minor"/>
    </font>
    <font>
      <sz val="15"/>
      <color theme="1"/>
      <name val="Aptos Narrow"/>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0000"/>
        <bgColor indexed="64"/>
      </patternFill>
    </fill>
  </fills>
  <borders count="1">
    <border>
      <left/>
      <right/>
      <top/>
      <bottom/>
      <diagonal/>
    </border>
  </borders>
  <cellStyleXfs count="8">
    <xf numFmtId="0" fontId="0" fillId="0" borderId="0"/>
    <xf numFmtId="0" fontId="2" fillId="0" borderId="0">
      <alignment wrapText="1"/>
    </xf>
    <xf numFmtId="0" fontId="2" fillId="0" borderId="0">
      <alignment wrapText="1"/>
    </xf>
    <xf numFmtId="0" fontId="1" fillId="0" borderId="0"/>
    <xf numFmtId="3" fontId="9" fillId="0" borderId="0" applyFont="0" applyFill="0" applyBorder="0" applyProtection="0">
      <alignment horizontal="right" vertical="center" indent="1"/>
    </xf>
    <xf numFmtId="166" fontId="9" fillId="0" borderId="0" applyFont="0" applyFill="0" applyBorder="0" applyProtection="0">
      <alignment horizontal="right" vertical="center" indent="1"/>
    </xf>
    <xf numFmtId="165" fontId="9" fillId="0" borderId="0" applyFont="0" applyFill="0" applyBorder="0" applyProtection="0">
      <alignment horizontal="right" vertical="center" indent="1"/>
    </xf>
    <xf numFmtId="10" fontId="9" fillId="0" borderId="0" applyFont="0" applyFill="0" applyBorder="0" applyProtection="0">
      <alignment horizontal="right" vertical="center" indent="1"/>
    </xf>
  </cellStyleXfs>
  <cellXfs count="56">
    <xf numFmtId="0" fontId="0" fillId="0" borderId="0" xfId="0"/>
    <xf numFmtId="0" fontId="4" fillId="2" borderId="0" xfId="0" applyFont="1" applyFill="1"/>
    <xf numFmtId="0" fontId="4" fillId="0" borderId="0" xfId="0" applyFont="1"/>
    <xf numFmtId="0" fontId="7" fillId="0" borderId="0" xfId="0" applyFont="1"/>
    <xf numFmtId="0" fontId="5" fillId="2" borderId="0" xfId="0" applyFont="1" applyFill="1" applyAlignment="1">
      <alignment horizontal="left"/>
    </xf>
    <xf numFmtId="10" fontId="5" fillId="2" borderId="0" xfId="0" applyNumberFormat="1" applyFont="1" applyFill="1"/>
    <xf numFmtId="0" fontId="5" fillId="0" borderId="0" xfId="0" applyFont="1"/>
    <xf numFmtId="3" fontId="5" fillId="0" borderId="0" xfId="0" applyNumberFormat="1" applyFont="1"/>
    <xf numFmtId="0" fontId="4" fillId="2" borderId="0" xfId="0" applyFont="1" applyFill="1" applyAlignment="1">
      <alignment horizontal="left"/>
    </xf>
    <xf numFmtId="0" fontId="4" fillId="2" borderId="0" xfId="0" applyFont="1" applyFill="1" applyAlignment="1">
      <alignment horizont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alignment wrapText="1"/>
    </xf>
    <xf numFmtId="0" fontId="5" fillId="0" borderId="0" xfId="0" applyFont="1" applyAlignment="1">
      <alignment horizontal="left"/>
    </xf>
    <xf numFmtId="0" fontId="5" fillId="0" borderId="0" xfId="0" applyFont="1" applyAlignment="1">
      <alignment horizontal="center"/>
    </xf>
    <xf numFmtId="0" fontId="4" fillId="0" borderId="0" xfId="3" applyFont="1" applyAlignment="1">
      <alignment horizontal="center" vertical="center" wrapText="1"/>
    </xf>
    <xf numFmtId="0" fontId="4" fillId="0" borderId="0" xfId="3" applyFont="1"/>
    <xf numFmtId="0" fontId="6" fillId="0" borderId="0" xfId="0" applyFont="1" applyAlignment="1">
      <alignment horizontal="center" vertical="center" wrapText="1"/>
    </xf>
    <xf numFmtId="0" fontId="12" fillId="0" borderId="0" xfId="0" applyFont="1" applyAlignment="1">
      <alignment horizontal="center" vertical="center" wrapText="1"/>
    </xf>
    <xf numFmtId="10" fontId="5" fillId="2" borderId="0" xfId="0" applyNumberFormat="1" applyFont="1" applyFill="1" applyAlignment="1">
      <alignment horizontal="right"/>
    </xf>
    <xf numFmtId="3" fontId="4" fillId="0" borderId="0" xfId="4" applyFont="1" applyFill="1" applyBorder="1">
      <alignment horizontal="right" vertical="center" indent="1"/>
    </xf>
    <xf numFmtId="165" fontId="5" fillId="2" borderId="0" xfId="6" applyFont="1" applyFill="1" applyBorder="1">
      <alignment horizontal="right" vertical="center" indent="1"/>
    </xf>
    <xf numFmtId="3" fontId="4" fillId="0" borderId="0" xfId="4" applyFont="1" applyFill="1">
      <alignment horizontal="right" vertical="center" indent="1"/>
    </xf>
    <xf numFmtId="3" fontId="0" fillId="0" borderId="0" xfId="4" applyFont="1">
      <alignment horizontal="right" vertical="center" indent="1"/>
    </xf>
    <xf numFmtId="3" fontId="4" fillId="0" borderId="0" xfId="4" applyFont="1">
      <alignment horizontal="right" vertical="center" indent="1"/>
    </xf>
    <xf numFmtId="3" fontId="4" fillId="0" borderId="0" xfId="0" applyNumberFormat="1" applyFont="1" applyAlignment="1">
      <alignment horizontal="right" vertical="center" indent="1"/>
    </xf>
    <xf numFmtId="3" fontId="9" fillId="0" borderId="0" xfId="4" applyFont="1">
      <alignment horizontal="right" vertical="center" indent="1"/>
    </xf>
    <xf numFmtId="3" fontId="4" fillId="0" borderId="0" xfId="0" applyNumberFormat="1" applyFont="1" applyAlignment="1">
      <alignment horizontal="right" vertical="center"/>
    </xf>
    <xf numFmtId="3" fontId="12" fillId="0" borderId="0" xfId="0" applyNumberFormat="1" applyFont="1" applyAlignment="1">
      <alignment horizontal="center" vertical="center" wrapText="1"/>
    </xf>
    <xf numFmtId="164" fontId="10" fillId="0" borderId="0" xfId="1" applyNumberFormat="1" applyFont="1" applyAlignment="1">
      <alignment horizontal="left" vertical="center" readingOrder="1"/>
    </xf>
    <xf numFmtId="164" fontId="3" fillId="0" borderId="0" xfId="1" applyNumberFormat="1" applyFont="1" applyAlignment="1">
      <alignment horizontal="left" vertical="top" wrapText="1" readingOrder="1"/>
    </xf>
    <xf numFmtId="164" fontId="11" fillId="0" borderId="0" xfId="1" applyNumberFormat="1" applyFont="1" applyAlignment="1">
      <alignment horizontal="left" vertical="center" readingOrder="1"/>
    </xf>
    <xf numFmtId="3" fontId="4"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0" fontId="13" fillId="0" borderId="0" xfId="0" applyFont="1" applyAlignment="1">
      <alignment wrapText="1"/>
    </xf>
    <xf numFmtId="3" fontId="8" fillId="0" borderId="0" xfId="4" applyFont="1" applyFill="1" applyAlignment="1">
      <alignment horizontal="right"/>
    </xf>
    <xf numFmtId="0" fontId="15" fillId="3" borderId="0" xfId="0" applyFont="1" applyFill="1"/>
    <xf numFmtId="14" fontId="0" fillId="0" borderId="0" xfId="0" applyNumberFormat="1"/>
    <xf numFmtId="0" fontId="16" fillId="4" borderId="0" xfId="0" applyFont="1" applyFill="1"/>
    <xf numFmtId="22" fontId="0" fillId="0" borderId="0" xfId="0" applyNumberFormat="1"/>
    <xf numFmtId="15" fontId="0" fillId="0" borderId="0" xfId="0" applyNumberFormat="1"/>
    <xf numFmtId="164" fontId="17" fillId="0" borderId="0" xfId="1" applyNumberFormat="1" applyFont="1" applyAlignment="1">
      <alignment horizontal="left" vertical="center" readingOrder="1"/>
    </xf>
    <xf numFmtId="164" fontId="18" fillId="0" borderId="0" xfId="1" applyNumberFormat="1" applyFont="1" applyAlignment="1">
      <alignment horizontal="left" vertical="center" readingOrder="1"/>
    </xf>
    <xf numFmtId="164" fontId="19" fillId="0" borderId="0" xfId="1" applyNumberFormat="1" applyFont="1" applyAlignment="1">
      <alignment horizontal="left" vertical="center" readingOrder="1"/>
    </xf>
    <xf numFmtId="164" fontId="3" fillId="0" borderId="0" xfId="1" applyNumberFormat="1" applyFont="1" applyAlignment="1">
      <alignment horizontal="left" vertical="center" wrapText="1" readingOrder="1"/>
    </xf>
    <xf numFmtId="0" fontId="20" fillId="0" borderId="0" xfId="0" applyFont="1"/>
    <xf numFmtId="0" fontId="21" fillId="0" borderId="0" xfId="0" applyFont="1" applyAlignment="1">
      <alignment vertical="center"/>
    </xf>
    <xf numFmtId="0" fontId="16" fillId="4" borderId="0" xfId="0" quotePrefix="1" applyFont="1" applyFill="1"/>
    <xf numFmtId="0" fontId="22" fillId="0" borderId="0" xfId="0" applyFont="1" applyAlignment="1">
      <alignment vertical="center"/>
    </xf>
    <xf numFmtId="0" fontId="0" fillId="0" borderId="0" xfId="0" applyAlignment="1">
      <alignment vertical="center" wrapText="1"/>
    </xf>
    <xf numFmtId="0" fontId="4" fillId="0" borderId="0" xfId="0" applyFont="1" applyAlignment="1"/>
    <xf numFmtId="0" fontId="8" fillId="0" borderId="0" xfId="0" applyFont="1" applyFill="1" applyAlignment="1"/>
    <xf numFmtId="0" fontId="4" fillId="0" borderId="0" xfId="3" applyFont="1" applyFill="1"/>
    <xf numFmtId="15" fontId="4" fillId="0" borderId="0" xfId="0" applyNumberFormat="1" applyFont="1" applyAlignment="1"/>
  </cellXfs>
  <cellStyles count="8">
    <cellStyle name="0DecWComma&amp;0" xfId="4" xr:uid="{9EA711D1-21A9-4344-A75F-61067E263F96}"/>
    <cellStyle name="1DecWComma&amp;0" xfId="5" xr:uid="{C6E9295C-1928-40F0-9C7A-E2B28C2E0045}"/>
    <cellStyle name="Normal" xfId="0" builtinId="0"/>
    <cellStyle name="Normal 2" xfId="1" xr:uid="{E8C68911-312A-4328-AA50-FC8F41EBFCD3}"/>
    <cellStyle name="Normal 2 2" xfId="2" xr:uid="{391D6831-603B-484B-BEC3-1ABE00B338BE}"/>
    <cellStyle name="Normal 3" xfId="3" xr:uid="{92082B34-06C2-47E4-8BDD-A48CCEC5D930}"/>
    <cellStyle name="Pct1Dec" xfId="6" xr:uid="{FC7FCCFA-F412-4673-9602-D8C9E6DAE7E0}"/>
    <cellStyle name="Pct2Dec" xfId="7" xr:uid="{0073FE48-6B91-4F9A-BD30-2DAC7E2368F1}"/>
  </cellStyles>
  <dxfs count="889">
    <dxf>
      <fill>
        <patternFill patternType="solid">
          <fgColor rgb="FFFF3B30"/>
          <bgColor rgb="FF00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strike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textRotation="0" wrapText="0" indent="0" justifyLastLine="0" shrinkToFit="0" readingOrder="0"/>
    </dxf>
    <dxf>
      <font>
        <strike val="0"/>
        <outline val="0"/>
        <shadow val="0"/>
        <u val="none"/>
        <vertAlign val="baseline"/>
        <sz val="11"/>
        <color rgb="FF000000"/>
        <name val="Aptos Narrow"/>
        <family val="2"/>
        <scheme val="none"/>
      </font>
      <numFmt numFmtId="3" formatCode="#,##0"/>
      <alignment textRotation="0" wrapText="0" indent="0" justifyLastLine="0" shrinkToFit="0" readingOrder="0"/>
    </dxf>
    <dxf>
      <font>
        <b val="0"/>
        <i val="0"/>
        <strike val="0"/>
        <condense val="0"/>
        <extend val="0"/>
        <outline val="0"/>
        <shadow val="0"/>
        <u val="none"/>
        <vertAlign val="baseline"/>
        <sz val="13"/>
        <color theme="1"/>
        <name val="Aptos Narrow"/>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strike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textRotation="0" wrapText="0" indent="0" justifyLastLine="0" shrinkToFit="0" readingOrder="0"/>
    </dxf>
    <dxf>
      <font>
        <strike val="0"/>
        <outline val="0"/>
        <shadow val="0"/>
        <u val="none"/>
        <vertAlign val="baseline"/>
        <sz val="11"/>
        <color theme="1"/>
        <name val="Aptos Narrow"/>
        <family val="2"/>
        <scheme val="none"/>
      </font>
      <numFmt numFmtId="3" formatCode="#,##0"/>
      <alignment textRotation="0" wrapText="0" indent="0" justifyLastLine="0" shrinkToFit="0" readingOrder="0"/>
    </dxf>
    <dxf>
      <font>
        <b val="0"/>
        <i val="0"/>
        <strike val="0"/>
        <condense val="0"/>
        <extend val="0"/>
        <outline val="0"/>
        <shadow val="0"/>
        <u val="none"/>
        <vertAlign val="baseline"/>
        <sz val="13"/>
        <color theme="1"/>
        <name val="Aptos Narrow"/>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dxf>
    <dxf>
      <font>
        <strike val="0"/>
        <outline val="0"/>
        <shadow val="0"/>
        <u val="none"/>
        <vertAlign val="baseline"/>
        <sz val="13"/>
        <color theme="1"/>
        <name val="Aptos Narrow"/>
        <family val="2"/>
        <scheme val="none"/>
      </font>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general" vertical="bottom" textRotation="0" wrapText="0" indent="0" justifyLastLine="0" shrinkToFit="0" readingOrder="0"/>
    </dxf>
    <dxf>
      <fill>
        <patternFill patternType="solid">
          <fgColor rgb="FFFF3B30"/>
          <bgColor rgb="FF000000"/>
        </patternFill>
      </fill>
    </dxf>
    <dxf>
      <font>
        <strike val="0"/>
        <outline val="0"/>
        <shadow val="0"/>
        <u val="none"/>
        <vertAlign val="baseline"/>
        <sz val="11"/>
        <name val="Aptos Narrow"/>
        <family val="2"/>
        <scheme val="none"/>
      </font>
      <alignment horizontal="general" vertical="bottom" textRotation="0" wrapText="0" indent="0" justifyLastLine="0" shrinkToFit="0" readingOrder="0"/>
    </dxf>
    <dxf>
      <font>
        <strike val="0"/>
        <outline val="0"/>
        <shadow val="0"/>
        <u val="none"/>
        <vertAlign val="baseline"/>
        <sz val="11"/>
        <name val="Aptos Narrow"/>
        <family val="2"/>
        <scheme val="none"/>
      </font>
      <alignment horizontal="center" vertical="center" textRotation="0" wrapText="1" indent="0" justifyLastLine="0" shrinkToFit="0" readingOrder="0"/>
    </dxf>
    <dxf>
      <fill>
        <patternFill patternType="solid">
          <fgColor theme="4" tint="0.79998168889431442"/>
          <bgColor theme="4" tint="0.79998168889431442"/>
        </patternFill>
      </fill>
    </dxf>
    <dxf>
      <font>
        <b/>
        <color theme="1"/>
      </font>
    </dxf>
    <dxf>
      <font>
        <b/>
        <color theme="1"/>
      </font>
    </dxf>
    <dxf>
      <font>
        <b/>
        <color theme="1"/>
      </font>
      <border diagonalUp="0" diagonalDown="0">
        <left/>
        <right/>
        <top style="double">
          <color theme="4" tint="0.39994506668294322"/>
        </top>
        <bottom style="thin">
          <color theme="4" tint="0.39991454817346722"/>
        </bottom>
        <vertical/>
        <horizontal/>
      </border>
    </dxf>
    <dxf>
      <font>
        <b/>
        <color theme="0"/>
      </font>
      <fill>
        <patternFill patternType="solid">
          <fgColor theme="4"/>
          <bgColor rgb="FF1C3A70"/>
        </patternFill>
      </fill>
    </dxf>
    <dxf>
      <font>
        <color theme="1"/>
      </font>
      <border>
        <left style="thin">
          <color theme="4" tint="0.39997558519241921"/>
        </left>
        <right style="thin">
          <color theme="4" tint="0.39997558519241921"/>
        </right>
        <top style="thin">
          <color theme="4" tint="0.39997558519241921"/>
        </top>
        <bottom style="thin">
          <color theme="4" tint="0.39994506668294322"/>
        </bottom>
        <horizontal style="thin">
          <color theme="4" tint="0.39997558519241921"/>
        </horizontal>
      </border>
    </dxf>
  </dxfs>
  <tableStyles count="1" defaultTableStyle="TableStyleMedium2" defaultPivotStyle="PivotStyleLight16">
    <tableStyle name="HDXTableStyle2" pivot="0" count="6" xr9:uid="{2FD7DB8A-1731-41FE-B106-6E8FDE54D2EF}">
      <tableStyleElement type="wholeTable" dxfId="888"/>
      <tableStyleElement type="headerRow" dxfId="887"/>
      <tableStyleElement type="totalRow" dxfId="886"/>
      <tableStyleElement type="firstColumn" dxfId="885"/>
      <tableStyleElement type="lastColumn" dxfId="884"/>
      <tableStyleElement type="firstRowStripe" dxfId="883"/>
    </tableStyle>
  </tableStyles>
  <colors>
    <mruColors>
      <color rgb="FF003366"/>
      <color rgb="FF175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23/09/relationships/Python" Target="pyth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114300</xdr:rowOff>
    </xdr:to>
    <xdr:sp macro="" textlink="">
      <xdr:nvSpPr>
        <xdr:cNvPr id="2" name="AutoShape 1">
          <a:extLst>
            <a:ext uri="{FF2B5EF4-FFF2-40B4-BE49-F238E27FC236}">
              <a16:creationId xmlns:a16="http://schemas.microsoft.com/office/drawing/2014/main" id="{003D1E39-7CB8-40E1-BEDC-2F4F8E4A021D}"/>
            </a:ext>
          </a:extLst>
        </xdr:cNvPr>
        <xdr:cNvSpPr>
          <a:spLocks noChangeAspect="1" noChangeArrowheads="1"/>
        </xdr:cNvSpPr>
      </xdr:nvSpPr>
      <xdr:spPr bwMode="auto">
        <a:xfrm>
          <a:off x="0" y="139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114300</xdr:rowOff>
    </xdr:to>
    <xdr:sp macro="" textlink="">
      <xdr:nvSpPr>
        <xdr:cNvPr id="3" name="AutoShape 2">
          <a:extLst>
            <a:ext uri="{FF2B5EF4-FFF2-40B4-BE49-F238E27FC236}">
              <a16:creationId xmlns:a16="http://schemas.microsoft.com/office/drawing/2014/main" id="{E0DE0CDD-BF54-422B-8C66-B0B91DA94E50}"/>
            </a:ext>
          </a:extLst>
        </xdr:cNvPr>
        <xdr:cNvSpPr>
          <a:spLocks noChangeAspect="1" noChangeArrowheads="1"/>
        </xdr:cNvSpPr>
      </xdr:nvSpPr>
      <xdr:spPr bwMode="auto">
        <a:xfrm>
          <a:off x="0" y="139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22412</xdr:rowOff>
    </xdr:from>
    <xdr:ext cx="7760804" cy="702885"/>
    <xdr:sp macro="" textlink="">
      <xdr:nvSpPr>
        <xdr:cNvPr id="4" name="Measure 1, Table 1 Description">
          <a:extLst>
            <a:ext uri="{FF2B5EF4-FFF2-40B4-BE49-F238E27FC236}">
              <a16:creationId xmlns:a16="http://schemas.microsoft.com/office/drawing/2014/main" id="{174B68B1-FAB4-4505-A885-28119F7C59D4}"/>
            </a:ext>
          </a:extLst>
        </xdr:cNvPr>
        <xdr:cNvSpPr txBox="1"/>
      </xdr:nvSpPr>
      <xdr:spPr>
        <a:xfrm>
          <a:off x="0" y="1222562"/>
          <a:ext cx="7760804" cy="702885"/>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r>
            <a:rPr lang="en-US" sz="1300" baseline="0">
              <a:solidFill>
                <a:schemeClr val="tx1"/>
              </a:solidFill>
              <a:latin typeface="Aptos Narrow" panose="020B0004020202020204" pitchFamily="34" charset="0"/>
            </a:rPr>
            <a:t>This spreadsheet has been designed as a lightweight method for users to view their HIC data in a spreadsheet-based format that is easier to visualize and print and includes references to the raw data elements users fill find in the HIC data as entered in HDX 2.0.</a:t>
          </a:r>
        </a:p>
      </xdr:txBody>
    </xdr:sp>
    <xdr:clientData/>
  </xdr:oneCellAnchor>
  <xdr:oneCellAnchor>
    <xdr:from>
      <xdr:col>0</xdr:col>
      <xdr:colOff>0</xdr:colOff>
      <xdr:row>10</xdr:row>
      <xdr:rowOff>242715</xdr:rowOff>
    </xdr:from>
    <xdr:ext cx="7578587" cy="1313436"/>
    <xdr:sp macro="" textlink="">
      <xdr:nvSpPr>
        <xdr:cNvPr id="5" name="Measure 1, Table 1 Description">
          <a:extLst>
            <a:ext uri="{FF2B5EF4-FFF2-40B4-BE49-F238E27FC236}">
              <a16:creationId xmlns:a16="http://schemas.microsoft.com/office/drawing/2014/main" id="{7E9240CE-C7FF-4DDA-A5E4-FD6E0A0B4F5A}"/>
            </a:ext>
          </a:extLst>
        </xdr:cNvPr>
        <xdr:cNvSpPr txBox="1"/>
      </xdr:nvSpPr>
      <xdr:spPr>
        <a:xfrm>
          <a:off x="0" y="2395365"/>
          <a:ext cx="7578587" cy="1313436"/>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For a visual guide with screenshots for how to populate this template, please check the HDX 2.0 Issues page (the URL to that page is available on the banner of HDX). Otherwise, follow these instructions: 1) Download the HIC Raw Data from the "HIC Reports" page of the HIC module of HDX and open it in Excel. 2) Paste that .csv data into the "HicRawData" tab of this spreadsheet (we recommend that you use the 'Paste as Values" option). The data on all other tabs will then update automatically. You may need to enable automatic calculation in the "Formulas" tab of Excel.</a:t>
          </a:r>
          <a:endParaRPr lang="en-US" sz="1300">
            <a:effectLst/>
            <a:latin typeface="Aptos Narrow" panose="020B0004020202020204" pitchFamily="34" charset="0"/>
          </a:endParaRPr>
        </a:p>
      </xdr:txBody>
    </xdr:sp>
    <xdr:clientData/>
  </xdr:oneCellAnchor>
  <xdr:oneCellAnchor>
    <xdr:from>
      <xdr:col>3</xdr:col>
      <xdr:colOff>221356</xdr:colOff>
      <xdr:row>0</xdr:row>
      <xdr:rowOff>0</xdr:rowOff>
    </xdr:from>
    <xdr:ext cx="2001332" cy="295850"/>
    <xdr:sp macro="" textlink="">
      <xdr:nvSpPr>
        <xdr:cNvPr id="6" name="Measure 1, Table 1 Description">
          <a:extLst>
            <a:ext uri="{FF2B5EF4-FFF2-40B4-BE49-F238E27FC236}">
              <a16:creationId xmlns:a16="http://schemas.microsoft.com/office/drawing/2014/main" id="{6CDA79AA-A136-4013-A972-4C223FE9591B}"/>
            </a:ext>
          </a:extLst>
        </xdr:cNvPr>
        <xdr:cNvSpPr txBox="1"/>
      </xdr:nvSpPr>
      <xdr:spPr>
        <a:xfrm>
          <a:off x="6098281" y="0"/>
          <a:ext cx="2001332" cy="295850"/>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algn="r"/>
          <a:r>
            <a:rPr lang="en-US" sz="1300">
              <a:solidFill>
                <a:schemeClr val="tx1"/>
              </a:solidFill>
              <a:latin typeface="+mn-lt"/>
            </a:rPr>
            <a:t>This document is printable</a:t>
          </a:r>
        </a:p>
      </xdr:txBody>
    </xdr:sp>
    <xdr:clientData/>
  </xdr:oneCellAnchor>
  <xdr:oneCellAnchor>
    <xdr:from>
      <xdr:col>0</xdr:col>
      <xdr:colOff>0</xdr:colOff>
      <xdr:row>19</xdr:row>
      <xdr:rowOff>221318</xdr:rowOff>
    </xdr:from>
    <xdr:ext cx="7578587" cy="2025034"/>
    <xdr:sp macro="" textlink="">
      <xdr:nvSpPr>
        <xdr:cNvPr id="7" name="Measure 1, Table 1 Description">
          <a:extLst>
            <a:ext uri="{FF2B5EF4-FFF2-40B4-BE49-F238E27FC236}">
              <a16:creationId xmlns:a16="http://schemas.microsoft.com/office/drawing/2014/main" id="{E5DBA013-BEF8-4A3F-B830-50A84B5F8B79}"/>
            </a:ext>
          </a:extLst>
        </xdr:cNvPr>
        <xdr:cNvSpPr txBox="1"/>
      </xdr:nvSpPr>
      <xdr:spPr>
        <a:xfrm>
          <a:off x="0" y="4145618"/>
          <a:ext cx="7578587" cy="202503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All of the sheets of this spreadsheet are locked by default except for the "HicRawData" sheet. Some advanced users may choose to make edits by unlocking the spreadsheet - the password to unlock the spreadsheet is "unlock" (without quotes). Users who unlock the spreadsheet may choose to unhide column that contain variable references. For most users, however, we do not recommend making edits to any of the formulas as this can make the template behave in unexpected ways. AAQ support cannot be provided to individuals who have edited formulas in this spreadsheet. </a:t>
          </a:r>
        </a:p>
        <a:p>
          <a:pPr marL="0" marR="0" lvl="0" indent="0" defTabSz="914400" eaLnBrk="1" fontAlgn="auto" latinLnBrk="0" hangingPunct="1">
            <a:lnSpc>
              <a:spcPct val="100000"/>
            </a:lnSpc>
            <a:spcBef>
              <a:spcPts val="0"/>
            </a:spcBef>
            <a:spcAft>
              <a:spcPts val="0"/>
            </a:spcAft>
            <a:buClrTx/>
            <a:buSzTx/>
            <a:buFontTx/>
            <a:buNone/>
            <a:tabLst/>
            <a:defRPr/>
          </a:pPr>
          <a:endParaRPr lang="en-US" sz="1300" baseline="0">
            <a:solidFill>
              <a:schemeClr val="dk1"/>
            </a:solidFill>
            <a:effectLst/>
            <a:latin typeface="Aptos Narrow"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If, after pasting your data, you still see many cells showing "NO DATA" or experience other issues, we recommend that you redownload the latest raw data and template available on HDX.</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9719AB70-6FAF-41AF-A944-1FB3FC8F3D59}"/>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B91CF676-BF18-4FCB-92EE-76BFF2387AC5}"/>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1285875</xdr:colOff>
      <xdr:row>11</xdr:row>
      <xdr:rowOff>125536</xdr:rowOff>
    </xdr:from>
    <xdr:ext cx="3171825" cy="1246064"/>
    <xdr:sp macro="" textlink="">
      <xdr:nvSpPr>
        <xdr:cNvPr id="2" name="Measure 1, Table 1 Description">
          <a:extLst>
            <a:ext uri="{FF2B5EF4-FFF2-40B4-BE49-F238E27FC236}">
              <a16:creationId xmlns:a16="http://schemas.microsoft.com/office/drawing/2014/main" id="{D4372B84-4F95-4234-8D15-1458B081DB66}"/>
            </a:ext>
          </a:extLst>
        </xdr:cNvPr>
        <xdr:cNvSpPr txBox="1"/>
      </xdr:nvSpPr>
      <xdr:spPr>
        <a:xfrm>
          <a:off x="6238875" y="2221036"/>
          <a:ext cx="3171825" cy="124606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r>
            <a:rPr lang="en-US" sz="2400" baseline="0">
              <a:solidFill>
                <a:schemeClr val="tx1"/>
              </a:solidFill>
              <a:latin typeface="+mn-lt"/>
            </a:rPr>
            <a:t>This tab is intended for administrative use only.</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3" name="HIC Competition Report Notes">
          <a:extLst>
            <a:ext uri="{FF2B5EF4-FFF2-40B4-BE49-F238E27FC236}">
              <a16:creationId xmlns:a16="http://schemas.microsoft.com/office/drawing/2014/main" id="{8126CCA8-FCD8-4D88-B778-CE1923AD5880}"/>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5" name="HIC Competition Report Notes">
          <a:extLst>
            <a:ext uri="{FF2B5EF4-FFF2-40B4-BE49-F238E27FC236}">
              <a16:creationId xmlns:a16="http://schemas.microsoft.com/office/drawing/2014/main" id="{697D8212-EB19-407E-AC1C-D6178B236921}"/>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CC9D648E-6945-4F40-A71C-10D64F6AA765}"/>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487181BD-9C99-48AC-AF67-9148F2311FCB}"/>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66B74FC4-86B8-44F3-AC95-DA04E1CB2701}"/>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97CF24C0-EF9B-4A45-B023-75FD14E6E506}"/>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7630ECA8-A7F0-483E-8E7B-AD0C8A0DEE1E}"/>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3" name="HIC Competition Report Notes">
          <a:extLst>
            <a:ext uri="{FF2B5EF4-FFF2-40B4-BE49-F238E27FC236}">
              <a16:creationId xmlns:a16="http://schemas.microsoft.com/office/drawing/2014/main" id="{691BACE9-597A-4534-8758-550FBD5F7DF7}"/>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A62CE5-8B8B-478C-BB61-638D077851EF}" name="HicRawData" displayName="HicRawData" ref="A1:CP28" totalsRowShown="0" headerRowDxfId="882" dataDxfId="881">
  <autoFilter ref="A1:CP28" xr:uid="{84A62CE5-8B8B-478C-BB61-638D077851EF}"/>
  <sortState xmlns:xlrd2="http://schemas.microsoft.com/office/spreadsheetml/2017/richdata2" ref="A2:CP2">
    <sortCondition sortBy="cellColor" ref="D1:D2" dxfId="880"/>
  </sortState>
  <tableColumns count="94">
    <tableColumn id="1" xr3:uid="{E0450B06-D586-483F-AEF5-D6621516BE77}" name="Row #" dataDxfId="879"/>
    <tableColumn id="2" xr3:uid="{ADADE449-9969-4E54-A3C3-B9CED7A5C27B}" name="CocState" dataDxfId="878"/>
    <tableColumn id="3" xr3:uid="{0D5DA40E-0A53-4513-A9B0-7303AAEABFC6}" name="CoC" dataDxfId="877"/>
    <tableColumn id="4" xr3:uid="{F95E5DC9-2907-4A76-8237-07E05D347C2E}" name="HudNum" dataDxfId="876"/>
    <tableColumn id="5" xr3:uid="{1B86CEC7-9620-46DD-9E91-D6D4701C151A}" name="Status" dataDxfId="875"/>
    <tableColumn id="6" xr3:uid="{12DB60EC-2A2D-4DBD-9156-24A25E9F0E70}" name="Year" dataDxfId="874"/>
    <tableColumn id="7" xr3:uid="{76EE4833-8972-4737-B4D8-3751E29D3FAA}" name="Organization Name" dataDxfId="873"/>
    <tableColumn id="8" xr3:uid="{BEEF6A41-759E-4A1A-9D67-8AA92AEE4873}" name="HMIS Org ID" dataDxfId="872"/>
    <tableColumn id="9" xr3:uid="{5CC52541-56B4-4FBF-8E84-C5276E93CBE1}" name="Project Name" dataDxfId="871"/>
    <tableColumn id="92" xr3:uid="{07F417C5-91CF-4103-9D5C-4B1B889F0E69}" name="Common Name" dataDxfId="870" dataCellStyle="Normal 3"/>
    <tableColumn id="10" xr3:uid="{EC21104A-2370-4825-A12C-422FA081F40F}" name="HMIS Project ID" dataDxfId="869"/>
    <tableColumn id="11" xr3:uid="{4DAFC3C0-3C82-4DD8-AB0E-CE84FF5CC4EF}" name="HIC Date" dataDxfId="868"/>
    <tableColumn id="12" xr3:uid="{55671610-C355-46DE-97FA-41668ECD4F6C}" name="Project Type" dataDxfId="867"/>
    <tableColumn id="13" xr3:uid="{07C3C021-D45D-4D03-AA05-8BC5EB8EEE15}" name="Bed Type" dataDxfId="866"/>
    <tableColumn id="14" xr3:uid="{F4C7CE28-2B8C-456E-8EEF-8CA278A98FD1}" name="Geocode" dataDxfId="865"/>
    <tableColumn id="15" xr3:uid="{ACAAAC2D-B6B1-42FA-B035-CAE13C7594C9}" name="HMIS Participating" dataDxfId="864"/>
    <tableColumn id="16" xr3:uid="{13DC5F1C-72AB-4A9D-AD10-79AE04314236}" name="Inventory Type" dataDxfId="863"/>
    <tableColumn id="17" xr3:uid="{209AA9A8-B753-4E99-9EA3-70D96068FF31}" name="Inventory Start Date" dataDxfId="862"/>
    <tableColumn id="18" xr3:uid="{5AC54FF8-074E-4BA1-A16B-6BB0038EC609}" name="Target Population" dataDxfId="861"/>
    <tableColumn id="94" xr3:uid="{684703FC-2381-400A-84A6-F3B81524BFB4}" name="Operating Start Date"/>
    <tableColumn id="93" xr3:uid="{70B80F9E-16D0-4772-880A-B63E3E3A4EF6}" name="Operating End Date"/>
    <tableColumn id="19" xr3:uid="{DA9E8665-CC96-4100-9D2F-564DA5BBFEA9}" name="mcKinneyVentoEsgEs" dataDxfId="860"/>
    <tableColumn id="20" xr3:uid="{0478B7A6-077E-4108-8A68-CCCA31241104}" name="mcKinneyVentoEsgRrh" dataDxfId="859"/>
    <tableColumn id="21" xr3:uid="{F375A7E6-F112-4E9E-81C2-0C0C0F45C100}" name="mcKinneyVentoEsgCov" dataDxfId="858"/>
    <tableColumn id="22" xr3:uid="{32CBB412-53F5-49B2-9A79-1A09F5B3D94B}" name="mcKinneyVentoEsgRUSH" dataDxfId="857"/>
    <tableColumn id="23" xr3:uid="{73373628-4B9B-4D55-AB68-609A77BA7CF6}" name="mcKinneyVentoCocSh" dataDxfId="856"/>
    <tableColumn id="24" xr3:uid="{3B600D9F-E5CA-45E5-9804-33D2D3CD9EE4}" name="mcKinneyVentoCocTh" dataDxfId="855"/>
    <tableColumn id="25" xr3:uid="{D3534902-788D-4219-9479-A65D437DD901}" name="mcKinneyVentoCocPsh" dataDxfId="854"/>
    <tableColumn id="26" xr3:uid="{9A2B9F3A-6860-40D8-810D-B1822B5B138D}" name="mcKinneyVentoCocRrh" dataDxfId="853"/>
    <tableColumn id="27" xr3:uid="{C0632988-80E4-4FF5-960D-BEACE45A7918}" name="mcKinneyVentoCocSro" dataDxfId="852"/>
    <tableColumn id="28" xr3:uid="{94D6958B-A76D-4D32-9497-2FEBAF76019C}" name="mcKinneyVentoCocThRrh" dataDxfId="851"/>
    <tableColumn id="29" xr3:uid="{666909B7-8BFC-4CB0-9AF9-4FC91E00B5B9}" name="mcKinneyVentoSpC" dataDxfId="850"/>
    <tableColumn id="30" xr3:uid="{D4043FDD-35F9-4354-9268-4F2E27FE46A2}" name="mcKinneyVentoS8" dataDxfId="849"/>
    <tableColumn id="31" xr3:uid="{56D1B4D2-23BC-41DA-B77D-BE208D67011A}" name="mcKinneyVentoShp" dataDxfId="848"/>
    <tableColumn id="32" xr3:uid="{493C9E1B-1966-4A35-99BE-4758AA451F4A}" name="mcKinneyVentoYhdp" dataDxfId="847"/>
    <tableColumn id="33" xr3:uid="{CF03839F-B12F-464C-9E71-BAAAA023AF66}" name="mcKinneyVentoYhdpRenewals" dataDxfId="846"/>
    <tableColumn id="34" xr3:uid="{0A364BA6-14DA-4024-9D28-0523A0D62DD5}" name="mcKinneyVentoUnshelt" dataDxfId="845"/>
    <tableColumn id="35" xr3:uid="{4669BDFE-17F4-4883-B37C-74C9235BA272}" name="mcKinneyVentoRural" dataDxfId="844"/>
    <tableColumn id="36" xr3:uid="{A25EA40A-6B2B-4AEC-A24B-51BB2FD28125}" name="federalFundingVash" dataDxfId="843"/>
    <tableColumn id="37" xr3:uid="{91CD31A0-4ED6-4E21-9C8C-7CC29D00C912}" name="federalFundingSsvf" dataDxfId="842"/>
    <tableColumn id="38" xr3:uid="{55736CE8-CD77-451C-B910-E93EBB27092A}" name="federalFundingGpdBh" dataDxfId="841"/>
    <tableColumn id="39" xr3:uid="{B73EE8C3-B0CB-4888-895E-67CA01C4D290}" name="federalFundingGpdLd" dataDxfId="840"/>
    <tableColumn id="40" xr3:uid="{9EA17854-F1FE-4267-B069-E966B00E27E9}" name="federalFundingGpdHh" dataDxfId="839"/>
    <tableColumn id="41" xr3:uid="{302CB8AB-4AD0-46C9-AB3A-67FDB1206CE7}" name="federalFundingGpdCt" dataDxfId="838"/>
    <tableColumn id="42" xr3:uid="{20890D18-B554-49AA-8D98-8E8A0733D011}" name="federalFundingGpdSith" dataDxfId="837"/>
    <tableColumn id="43" xr3:uid="{912079A1-5085-4D55-ACC4-DF71B10A2402}" name="federalFundingGpdTp" dataDxfId="836"/>
    <tableColumn id="44" xr3:uid="{16F494DF-00AD-4BAD-8C32-49A50E6BC42E}" name="federalFundingHchvCrs" dataDxfId="835"/>
    <tableColumn id="45" xr3:uid="{CEA84F57-EAC2-4549-9B91-EEB05697C99A}" name="federalFundingHchvSh" dataDxfId="834"/>
    <tableColumn id="46" xr3:uid="{24EA7582-E8F9-4960-9FB9-72929DA73DB5}" name="federalFundingBcp" dataDxfId="833"/>
    <tableColumn id="47" xr3:uid="{30602176-D03B-45FE-BFD4-111A3633F177}" name="federalFundingMgh" dataDxfId="832"/>
    <tableColumn id="48" xr3:uid="{414D94D2-C16A-402A-A8AE-EF48F4DC8D24}" name="federalFundingTlp" dataDxfId="831"/>
    <tableColumn id="49" xr3:uid="{88516C71-C25B-4A2D-9067-8674EEF50E3B}" name="federalFundingRhyDp" dataDxfId="830"/>
    <tableColumn id="50" xr3:uid="{C58DEE31-49E9-4881-AD99-856E3BDE5881}" name="federalFundingHopwaHmv" dataDxfId="829"/>
    <tableColumn id="51" xr3:uid="{8E91FFAC-25E7-45E8-8693-84B6A712CB8E}" name="federalFundingHopwaPh" dataDxfId="828"/>
    <tableColumn id="52" xr3:uid="{23D234B4-4F1C-45C7-8241-68231F0E2583}" name="federalFundingHopwaStsf" dataDxfId="827"/>
    <tableColumn id="53" xr3:uid="{5FAF4999-DBC1-4E6E-91D1-3D656CAAF614}" name="federalFundingHopwaTh" dataDxfId="826"/>
    <tableColumn id="54" xr3:uid="{21BE59A2-E253-4368-824B-0DD70AFC355B}" name="federalFundingHopwaCovid" dataDxfId="825"/>
    <tableColumn id="55" xr3:uid="{9F78B3DB-BDA0-46C6-B7F2-4633D607EBEF}" name="federalFundingPih" dataDxfId="824"/>
    <tableColumn id="56" xr3:uid="{B8981646-F6B2-4BEA-9363-6860E04CEB22}" name="federalFundingIndianEhv" dataDxfId="823"/>
    <tableColumn id="57" xr3:uid="{93CB7CC0-29BD-440D-BA52-5F0CB8F6CAF6}" name="federalFundingHome" dataDxfId="822"/>
    <tableColumn id="58" xr3:uid="{865C6C0F-A2D6-4A0B-B2AE-89645926FF51}" name="federalFundingHomeArp" dataDxfId="821"/>
    <tableColumn id="59" xr3:uid="{DA11C109-ECBE-4355-BF08-C9C9B36D4DBB}" name="federalFundingOther" dataDxfId="820"/>
    <tableColumn id="60" xr3:uid="{B62E481E-DF1C-42B4-B452-273F0D166952}" name="federalFundingOtherSpecify" dataDxfId="819"/>
    <tableColumn id="61" xr3:uid="{A8BB6A6C-E66B-4A88-9223-E21187B43423}" name="Housing Type" dataDxfId="818"/>
    <tableColumn id="62" xr3:uid="{DAD2AAA0-25C2-402A-856C-A8D921D8C2DF}" name="Victim Service Provider" dataDxfId="817"/>
    <tableColumn id="63" xr3:uid="{BB7D98DC-135F-491A-BBA4-ACD5D8F9985B}" name="address1" dataDxfId="816"/>
    <tableColumn id="64" xr3:uid="{B6F5A178-39D2-4AAA-BB1D-3F61902F4A96}" name="address2" dataDxfId="815"/>
    <tableColumn id="65" xr3:uid="{7B324FEF-CD41-48DD-9067-1DC6B0FBF5B6}" name="city" dataDxfId="814"/>
    <tableColumn id="66" xr3:uid="{8E1BCED6-DC40-4A2D-8372-F760D4A8E19F}" name="state" dataDxfId="813"/>
    <tableColumn id="67" xr3:uid="{C0DEB76E-ED67-4C3D-B558-BD3F71642DA3}" name="zip" dataDxfId="812"/>
    <tableColumn id="68" xr3:uid="{ED8D601C-E94D-4400-971F-CE0DDFA1D3F2}" name="Beds HH w/ Children" dataDxfId="811"/>
    <tableColumn id="69" xr3:uid="{14095EEB-2120-49F7-9727-5A52E4C030D8}" name="Units HH w/ Children" dataDxfId="810"/>
    <tableColumn id="70" xr3:uid="{0D2A86C1-6113-4BC8-9DCE-5E7C8CBEA60B}" name="Veteran Beds HH w/ Children" dataDxfId="809"/>
    <tableColumn id="71" xr3:uid="{5750CC08-FF28-43BB-86D4-DE864BF10B05}" name="Youth Beds HH w/ Children" dataDxfId="808"/>
    <tableColumn id="72" xr3:uid="{D1640A5C-E9D5-4587-8F41-10B37DBFEE80}" name="CH Beds HH w/ Children" dataDxfId="807"/>
    <tableColumn id="73" xr3:uid="{538AEFCD-7374-4BCC-8978-76F12FDE0898}" name="Beds HH w/o Children" dataDxfId="806"/>
    <tableColumn id="74" xr3:uid="{61579C4B-C8A1-4BBA-91F5-7210EA04663E}" name="Veteran Beds HH w/o Children" dataDxfId="805"/>
    <tableColumn id="75" xr3:uid="{746724B7-3679-4769-8B25-B28DEF6BFC7C}" name="Youth Beds HH w/o Children" dataDxfId="804"/>
    <tableColumn id="76" xr3:uid="{B4A11931-0021-4DDA-B215-7F6AA6311FFF}" name="CH Beds HH w/o Children" dataDxfId="803"/>
    <tableColumn id="77" xr3:uid="{FD9A4F29-7914-4742-A759-73EEC2F9E1F3}" name="Beds HH w/ only Children" dataDxfId="802"/>
    <tableColumn id="78" xr3:uid="{0EA49B8B-D6B3-4AB6-AF2B-14EEDAA7DDD8}" name="CH Beds HH w only Children" dataDxfId="801"/>
    <tableColumn id="79" xr3:uid="{D58B3EC1-589C-40A3-917C-727B6498E1E8}" name="Year-Round Beds" dataDxfId="800"/>
    <tableColumn id="80" xr3:uid="{69968EDC-642F-4200-961A-0E7B9707CD8E}" name="Total Seasonal Beds" dataDxfId="799"/>
    <tableColumn id="81" xr3:uid="{9265DE24-D873-48BE-B78F-C970ACED5F2F}" name="Availability Start Date" dataDxfId="798"/>
    <tableColumn id="82" xr3:uid="{7C933821-3976-4BAC-AF30-468B714979D3}" name="Availability End Date" dataDxfId="797"/>
    <tableColumn id="83" xr3:uid="{8B2C7A6A-7466-4CCE-905E-B5B2B0356DCC}" name="O/V Beds" dataDxfId="796"/>
    <tableColumn id="84" xr3:uid="{36B2D3D9-0F9D-409A-BD94-FCE3DF8128D3}" name="Pit Count" dataDxfId="795"/>
    <tableColumn id="85" xr3:uid="{0E8B51F4-7B6C-4415-A26C-AD363BA7BB5A}" name="Total Beds" dataDxfId="794"/>
    <tableColumn id="86" xr3:uid="{DD724397-63C6-4A27-A05E-A484DA26A420}" name="Updated On" dataDxfId="793"/>
    <tableColumn id="87" xr3:uid="{A1CF9AA3-CED5-423D-B452-7D4EDF24B39E}" name="notes" dataDxfId="792"/>
    <tableColumn id="88" xr3:uid="{05DEB58F-71A8-47CE-AED4-77814FDEE39D}" name="projectNotes" dataDxfId="791"/>
    <tableColumn id="89" xr3:uid="{28DA5FDA-AEAA-4B36-93F0-EE5A448DFD18}" name="sandyRelated" dataDxfId="790"/>
    <tableColumn id="90" xr3:uid="{8D50BD9F-70D9-4D8D-832F-DD9BD2DFD312}" name="sandyRelatedNote" dataDxfId="789"/>
    <tableColumn id="91" xr3:uid="{7B9E6A13-8316-49A4-B25C-EDE10E7BCA6C}" name="HOPWAMedAssistedLivingFac" dataDxfId="788"/>
  </tableColumns>
  <tableStyleInfo name="HDXTableStyle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6BC4F77-FA8D-4395-8E6F-E3E7B15D3EC1}" name="ES_NonVspHmisParticipation" displayName="ES_NonVspHmisParticipation" ref="A13:E17" totalsRowCount="1" headerRowDxfId="691" dataDxfId="690" totalsRowDxfId="689">
  <tableColumns count="5">
    <tableColumn id="1" xr3:uid="{42395AB0-CC7D-47CC-8148-5D0CCEE1A4F7}" name="Non-VSP* Beds by HMIS Participation" totalsRowLabel="Total" dataDxfId="688" totalsRowDxfId="687"/>
    <tableColumn id="2" xr3:uid="{E922D8E4-4E97-4FFF-B2FA-E21D5013B776}" name="Households without Children" totalsRowFunction="sum" dataDxfId="686" totalsRowDxfId="685"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657C63C6-834D-44CB-A019-3C71662A727F}" name="Households with Children" totalsRowFunction="sum" dataDxfId="684" totalsRowDxfId="683"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A42FE549-D76E-48FD-A9A9-D7127EC57B90}" name="Households with only Children" totalsRowFunction="sum" dataDxfId="682" totalsRowDxfId="681"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EE079FEA-BA1A-4232-9262-205CACF72ABF}" name="Total Year-Round Beds" totalsRowFunction="sum" dataDxfId="680" totalsRowDxfId="679" dataCellStyle="0DecWComma&amp;0" totalsRowCellStyle="0DecWComma&amp;0">
      <calculatedColumnFormula>SUM(ES_NonVspHmisParticipation[[#This Row],[Households without Children]:[Households with only Children]])</calculatedColumnFormula>
    </tableColumn>
  </tableColumns>
  <tableStyleInfo name="HDXTableStyle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FD55A-A09A-42BC-B213-AE335B91A1BB}" name="ES_TargetPopulation" displayName="ES_TargetPopulation" ref="A20:E24" totalsRowCount="1" headerRowDxfId="678" dataDxfId="677" totalsRowDxfId="676">
  <tableColumns count="5">
    <tableColumn id="1" xr3:uid="{92F5A91A-14A2-489F-B977-2AEFF22079F4}" name="Beds by Target Population" totalsRowLabel="Total" dataDxfId="675" totalsRowDxfId="674"/>
    <tableColumn id="2" xr3:uid="{CEE1D2E5-E285-4EFB-B1BC-494C0D5330B3}" name="Households without Children" totalsRowFunction="sum" dataDxfId="673" totalsRowDxfId="672" dataCellStyle="0DecWComma&amp;0">
      <calculatedColumnFormula>SUMIFS(HicRawData[Beds HH w/o Children],
HicRawData[Project Type],$I$2,
HicRawData[Inventory Type],"C",
HicRawData[Target Population],ES_TargetPopulation[[#This Row],[Beds by Target Population]])</calculatedColumnFormula>
    </tableColumn>
    <tableColumn id="3" xr3:uid="{ED284F8C-62D4-4C65-8BCB-49E11CA7B766}" name="Households with Children" totalsRowFunction="sum" dataDxfId="671" totalsRowDxfId="670" dataCellStyle="0DecWComma&amp;0">
      <calculatedColumnFormula>SUMIFS(HicRawData[Beds HH w/ Children],
HicRawData[Project Type],$I$2,
HicRawData[Inventory Type],"C",
HicRawData[Target Population],ES_TargetPopulation[[#This Row],[Beds by Target Population]])</calculatedColumnFormula>
    </tableColumn>
    <tableColumn id="4" xr3:uid="{88BD4691-9165-41E8-99E4-CE3EF591BCE4}" name="Households with only Children" totalsRowFunction="sum" dataDxfId="669" totalsRowDxfId="668" dataCellStyle="0DecWComma&amp;0">
      <calculatedColumnFormula>SUMIFS(HicRawData[Beds HH w/ only Children],
HicRawData[Project Type],$I$2,
HicRawData[Inventory Type],"C",
HicRawData[Target Population],ES_TargetPopulation[[#This Row],[Beds by Target Population]])</calculatedColumnFormula>
    </tableColumn>
    <tableColumn id="5" xr3:uid="{FA48B494-91FD-4F42-B7EA-2C4921460E90}" name="Total Year-Round Beds" totalsRowFunction="sum" dataDxfId="667" totalsRowDxfId="666" dataCellStyle="0DecWComma&amp;0">
      <calculatedColumnFormula>SUM(ES_TargetPopulation[[#This Row],[Households without Children]:[Households with only Children]])</calculatedColumnFormula>
    </tableColumn>
  </tableColumns>
  <tableStyleInfo name="HDXTableStyle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8DB02CA-9519-440C-B5ED-6B405341C209}" name="ES_InventoryType" displayName="ES_InventoryType" ref="A26:E29" totalsRowCount="1" headerRowDxfId="665" dataDxfId="664" totalsRowDxfId="663">
  <tableColumns count="5">
    <tableColumn id="1" xr3:uid="{07801627-5DF0-42B6-A94E-6256D058A086}" name="Beds by Inventory Type" totalsRowLabel="Total" dataDxfId="662" totalsRowDxfId="661"/>
    <tableColumn id="2" xr3:uid="{CC3835AA-8C49-4362-97F7-9179830907EE}" name="Households without Children" totalsRowFunction="sum" dataDxfId="660" totalsRowDxfId="659" dataCellStyle="0DecWComma&amp;0">
      <calculatedColumnFormula>SUMIFS(HicRawData[Beds HH w/o Children],
HicRawData[Project Type],$I$2,
HicRawData[Inventory Type],$I27)</calculatedColumnFormula>
    </tableColumn>
    <tableColumn id="3" xr3:uid="{571C5478-C29D-45AB-AC1F-7C559438D30B}" name="Households with Children" totalsRowFunction="sum" dataDxfId="658" totalsRowDxfId="657" dataCellStyle="0DecWComma&amp;0">
      <calculatedColumnFormula>SUMIFS(HicRawData[Beds HH w/ Children],
HicRawData[Project Type],$I$2,
HicRawData[Inventory Type],$I27)</calculatedColumnFormula>
    </tableColumn>
    <tableColumn id="4" xr3:uid="{16BCB212-174D-4E61-9EFE-68A3D6F169DA}" name="Households with only Children" totalsRowFunction="sum" dataDxfId="656" totalsRowDxfId="655" dataCellStyle="0DecWComma&amp;0">
      <calculatedColumnFormula>SUMIFS(HicRawData[Beds HH w/ only Children],
HicRawData[Project Type],$I$2,
HicRawData[Inventory Type],$I27)</calculatedColumnFormula>
    </tableColumn>
    <tableColumn id="5" xr3:uid="{B1381B1A-C493-4925-8F55-37A42BC23312}" name="Total Year-Round Beds" totalsRowFunction="sum" dataDxfId="654" totalsRowDxfId="653" dataCellStyle="0DecWComma&amp;0">
      <calculatedColumnFormula>SUM(ES_InventoryType[[#This Row],[Households without Children]:[Households with only Children]])</calculatedColumnFormula>
    </tableColumn>
  </tableColumns>
  <tableStyleInfo name="HDXTableStyle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8BD0F1E-0637-412E-84A3-32EA7BD5F4BB}" name="ES_ProjectType" displayName="ES_ProjectType" ref="A37:E44" totalsRowCount="1" headerRowDxfId="652" dataDxfId="651">
  <tableColumns count="5">
    <tableColumn id="1" xr3:uid="{406D7E57-FD40-4BAE-9263-CB493A522A1F}" name="All Beds by Project Type" totalsRowLabel="Total" dataDxfId="650" totalsRowDxfId="649"/>
    <tableColumn id="2" xr3:uid="{68288804-10D1-4F56-A996-9A1E3C0DAE35}" name="Households without Children" totalsRowFunction="sum" dataDxfId="648" totalsRowDxfId="647" dataCellStyle="0DecWComma&amp;0">
      <calculatedColumnFormula>SUMIFS(HicRawData[Beds HH w/o Children],
HicRawData[Project Type],$I$2,
HicRawData[Inventory Type],"C",
HicRawData[Project Type], ES_ProjectType[[#This Row],[All Beds by Project Type]])</calculatedColumnFormula>
    </tableColumn>
    <tableColumn id="3" xr3:uid="{40462EA0-6A14-461C-BAD7-00A597F934C3}" name="Households with Children" totalsRowFunction="sum" dataDxfId="646" totalsRowDxfId="645" dataCellStyle="0DecWComma&amp;0">
      <calculatedColumnFormula>SUMIFS(HicRawData[Beds HH w/ Children],
HicRawData[Project Type],$I$2,
HicRawData[Inventory Type],"C",
HicRawData[Project Type], ES_ProjectType[[#This Row],[All Beds by Project Type]])</calculatedColumnFormula>
    </tableColumn>
    <tableColumn id="4" xr3:uid="{6604FB60-5C48-4A4C-93CD-E78FF4702728}" name="Households with only Children" totalsRowFunction="sum" dataDxfId="644" totalsRowDxfId="643" dataCellStyle="0DecWComma&amp;0">
      <calculatedColumnFormula>SUMIFS(HicRawData[Beds HH w/ only Children],
HicRawData[Project Type],$I$2,
HicRawData[Inventory Type],"C",
HicRawData[Project Type], ES_ProjectType[[#This Row],[All Beds by Project Type]])</calculatedColumnFormula>
    </tableColumn>
    <tableColumn id="5" xr3:uid="{426B82BF-B748-48BC-8F1C-F44B3E25FB46}" name="Total Year-Round Beds" totalsRowFunction="sum" dataDxfId="642" totalsRowDxfId="641" dataCellStyle="0DecWComma&amp;0">
      <calculatedColumnFormula>SUM(ES_ProjectType[[#This Row],[Households without Children]:[Households with only Children]])</calculatedColumnFormula>
    </tableColumn>
  </tableColumns>
  <tableStyleInfo name="HDXTableStyle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242791C-647E-4247-A9EF-E95EF2EAB5EC}" name="ES_ProjectTypeHmisParticipation" displayName="ES_ProjectTypeHmisParticipation" ref="A46:E53" totalsRowCount="1" headerRowDxfId="640" dataDxfId="639">
  <tableColumns count="5">
    <tableColumn id="1" xr3:uid="{05BD3EDA-FC2F-4FB2-8686-EBE164DE580A}" name="HMIS Beds by Project Type" totalsRowLabel="Total" dataDxfId="638" totalsRowDxfId="637"/>
    <tableColumn id="2" xr3:uid="{5025B725-3FDB-4F38-BA0B-0713B322EFFF}" name="Households without Children" totalsRowFunction="sum" dataDxfId="636" totalsRowDxfId="635" dataCellStyle="0DecWComma&amp;0" totalsRowCellStyle="0DecWComma&amp;0">
      <calculatedColumnFormula>SUMIFS(HicRawData[Beds HH w/o Children],
HicRawData[Project Type],$I$2,
HicRawData[Inventory Type],"C",
HicRawData[Project Type], ES_ProjectTypeHmisParticipation[[#This Row],[HMIS Beds by Project Type]],
HicRawData[HMIS Participating], "Yes")</calculatedColumnFormula>
    </tableColumn>
    <tableColumn id="3" xr3:uid="{58C63F98-A270-4B45-B008-94635B717AD4}" name="Households with Children" totalsRowFunction="sum" dataDxfId="634" totalsRowDxfId="633" dataCellStyle="0DecWComma&amp;0" totalsRowCellStyle="0DecWComma&amp;0">
      <calculatedColumnFormula>SUMIFS(HicRawData[Beds HH w/ Children],
HicRawData[Project Type],$I$2,
HicRawData[Inventory Type],"C",
HicRawData[Project Type], ES_ProjectTypeHmisParticipation[[#This Row],[HMIS Beds by Project Type]],
HicRawData[HMIS Participating], "Yes")</calculatedColumnFormula>
    </tableColumn>
    <tableColumn id="4" xr3:uid="{9C7612C2-1607-456C-8631-E3BF6B1DB148}" name="Households with only Children" totalsRowFunction="sum" dataDxfId="632" totalsRowDxfId="631" dataCellStyle="0DecWComma&amp;0" totalsRowCellStyle="0DecWComma&amp;0">
      <calculatedColumnFormula>SUMIFS(HicRawData[Beds HH w/ only Children],
HicRawData[Project Type],$I$2,
HicRawData[Inventory Type],"C",
HicRawData[Project Type], ES_ProjectTypeHmisParticipation[[#This Row],[HMIS Beds by Project Type]],
HicRawData[HMIS Participating], "Yes")</calculatedColumnFormula>
    </tableColumn>
    <tableColumn id="5" xr3:uid="{619DA28D-3E8C-4C13-A424-3D4F562791B1}" name="Total Year-Round Beds" totalsRowFunction="sum" totalsRowDxfId="630" dataCellStyle="0DecWComma&amp;0" totalsRowCellStyle="0DecWComma&amp;0">
      <calculatedColumnFormula>B47+C47+D47</calculatedColumnFormula>
    </tableColumn>
  </tableColumns>
  <tableStyleInfo name="HDXTableStyle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93184CA-2D19-410C-9036-A6616FD8846D}" name="ES_SeasonalOverflow" displayName="ES_SeasonalOverflow" ref="A31:C35" totalsRowCount="1" headerRowDxfId="629" dataDxfId="628">
  <tableColumns count="3">
    <tableColumn id="1" xr3:uid="{E014FB97-D184-4CA0-A1F9-4F9113107158}" name="Seasonal/Overflow Beds" totalsRowLabel="Total" dataDxfId="627" totalsRowDxfId="626"/>
    <tableColumn id="2" xr3:uid="{E37AAB66-0D6D-488D-A1B9-2363E32750A4}" name="Total Seasonal Beds (Regardless of Availability)" totalsRowFunction="sum" dataDxfId="625" totalsRowDxfId="624" dataCellStyle="0DecWComma&amp;0" totalsRowCellStyle="0DecWComma&amp;0">
      <calculatedColumnFormula>SUMIFS(HicRawData[Total Seasonal Beds],
HicRawData[Project Type],$I$2,
HicRawData[Inventory Type],"C",
HicRawData[HMIS Participating],$I32)</calculatedColumnFormula>
    </tableColumn>
    <tableColumn id="3" xr3:uid="{3837033C-D7C9-4F13-913C-600BC3F17A86}" name="Total Overflow Beds" totalsRowFunction="sum" dataDxfId="623" totalsRowDxfId="622" dataCellStyle="0DecWComma&amp;0" totalsRowCellStyle="0DecWComma&amp;0">
      <calculatedColumnFormula>SUMIFS(HicRawData[O/V Beds],
HicRawData[Project Type],$I$2,
HicRawData[Inventory Type],"C",
HicRawData[HMIS Participating],$I32)</calculatedColumnFormula>
    </tableColumn>
  </tableColumns>
  <tableStyleInfo name="HDXTableStyle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589DB6D-FFFB-42D7-AB52-85D837977A52}" name="TH_HmisParticipation" displayName="TH_HmisParticipation" ref="A6:E10" totalsRowCount="1" headerRowDxfId="621" dataDxfId="620" totalsRowDxfId="619">
  <tableColumns count="5">
    <tableColumn id="1" xr3:uid="{C03420FB-B8CE-4942-A6FF-197E4B984F11}" name="Beds by HMIS Participation" totalsRowLabel="Total" dataDxfId="618" totalsRowDxfId="617"/>
    <tableColumn id="2" xr3:uid="{BCFC16E2-775B-4E2C-9FB1-7565017D0A3A}" name="Households without Children" totalsRowFunction="sum" dataDxfId="616" totalsRowDxfId="615" dataCellStyle="0DecWComma&amp;0" totalsRowCellStyle="0DecWComma&amp;0">
      <calculatedColumnFormula>SUMIFS(HicRawData[Beds HH w/o Children],
HicRawData[Project Type],$I$2,
HicRawData[Inventory Type],"C",
HicRawData[HMIS Participating],$I7)</calculatedColumnFormula>
    </tableColumn>
    <tableColumn id="3" xr3:uid="{B0C4A8E8-636C-4FF5-978F-A841A425CE70}" name="Households with Children" totalsRowFunction="sum" dataDxfId="614" totalsRowDxfId="613" dataCellStyle="0DecWComma&amp;0" totalsRowCellStyle="0DecWComma&amp;0">
      <calculatedColumnFormula>SUMIFS(HicRawData[Beds HH w/ Children],
HicRawData[Project Type],$I$2,
HicRawData[Inventory Type],"C",
HicRawData[HMIS Participating],$I7)</calculatedColumnFormula>
    </tableColumn>
    <tableColumn id="4" xr3:uid="{FC9286B8-BD08-473A-90E0-2D7530DA1651}" name="Households with only Children" totalsRowFunction="sum" dataDxfId="612" totalsRowDxfId="611" dataCellStyle="0DecWComma&amp;0" totalsRowCellStyle="0DecWComma&amp;0">
      <calculatedColumnFormula>SUMIFS(HicRawData[Beds HH w/ only Children],
HicRawData[Project Type],$I$2,
HicRawData[Inventory Type],"C",
HicRawData[HMIS Participating],$I7)</calculatedColumnFormula>
    </tableColumn>
    <tableColumn id="5" xr3:uid="{F3D4CFF2-E34E-4728-803E-BB6AF44A9E63}" name="Total Year-Round Beds" totalsRowFunction="sum" dataDxfId="610" totalsRowDxfId="609" dataCellStyle="0DecWComma&amp;0" totalsRowCellStyle="0DecWComma&amp;0">
      <calculatedColumnFormula>SUM(TH_HmisParticipation[[#This Row],[Households without Children]:[Households with only Children]])</calculatedColumnFormula>
    </tableColumn>
  </tableColumns>
  <tableStyleInfo name="HDXTableStyle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95EC9C0-E46B-461F-B461-90687873BF4D}" name="TH_NonVspHmisParticipation" displayName="TH_NonVspHmisParticipation" ref="A13:E17" totalsRowCount="1" headerRowDxfId="608" dataDxfId="607" totalsRowDxfId="606">
  <tableColumns count="5">
    <tableColumn id="1" xr3:uid="{6EA8C233-B416-4C4B-AD4C-2E74E283AD86}" name="Non-VSP* Beds by HMIS Participation" totalsRowLabel="Total" dataDxfId="605" totalsRowDxfId="604"/>
    <tableColumn id="2" xr3:uid="{1F22C374-7E49-4D8A-92A1-FB02BA7A64E3}" name="Households without Children" totalsRowFunction="sum" dataDxfId="603" totalsRowDxfId="602"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11088068-2BE5-437D-B0EA-5F7B5BC20B61}" name="Households with Children" totalsRowFunction="sum" dataDxfId="601" totalsRowDxfId="600"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998E4393-E970-4E84-B4F0-2C02145CFEFB}" name="Households with only Children" totalsRowFunction="sum" dataDxfId="599" totalsRowDxfId="598"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EB6797C8-315C-422A-B592-34561082A76F}" name="Total Year-Round Beds" totalsRowFunction="sum" dataDxfId="597" totalsRowDxfId="596" dataCellStyle="0DecWComma&amp;0" totalsRowCellStyle="0DecWComma&amp;0">
      <calculatedColumnFormula>SUM(TH_NonVspHmisParticipation[[#This Row],[Households without Children]:[Households with only Children]])</calculatedColumnFormula>
    </tableColumn>
  </tableColumns>
  <tableStyleInfo name="HDXTableStyle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0F1D76D-FFEF-4C9B-BF6C-38AB19C05FD8}" name="TH_TargetPopulation" displayName="TH_TargetPopulation" ref="A20:E24" totalsRowCount="1" headerRowDxfId="595" dataDxfId="594" totalsRowDxfId="593">
  <tableColumns count="5">
    <tableColumn id="1" xr3:uid="{03F87AB8-189A-4321-9191-82E5366F24CF}" name="Beds by Target Population" totalsRowLabel="Total" dataDxfId="592" totalsRowDxfId="591"/>
    <tableColumn id="2" xr3:uid="{9B7CE59A-5FC4-4C65-9C5D-DEBF772ABA26}" name="Households without Children" totalsRowFunction="sum" dataDxfId="590" totalsRowDxfId="589" dataCellStyle="0DecWComma&amp;0">
      <calculatedColumnFormula>SUMIFS(HicRawData[Beds HH w/o Children],
HicRawData[Project Type],$I$2,
HicRawData[Inventory Type],"C",
HicRawData[Target Population],TH_TargetPopulation[[#This Row],[Beds by Target Population]])</calculatedColumnFormula>
    </tableColumn>
    <tableColumn id="3" xr3:uid="{14EF0EE7-A517-4659-9EDA-0FE2629AFCD2}" name="Households with Children" totalsRowFunction="sum" dataDxfId="588" totalsRowDxfId="587" dataCellStyle="0DecWComma&amp;0">
      <calculatedColumnFormula>SUMIFS(HicRawData[Beds HH w/ Children],
HicRawData[Project Type],$I$2,
HicRawData[Inventory Type],"C",
HicRawData[Target Population],TH_TargetPopulation[[#This Row],[Beds by Target Population]])</calculatedColumnFormula>
    </tableColumn>
    <tableColumn id="4" xr3:uid="{0D89A7C6-15FD-4D44-9E6A-1814CE9AE1D6}" name="Households with only Children" totalsRowFunction="sum" dataDxfId="586" totalsRowDxfId="585" dataCellStyle="0DecWComma&amp;0">
      <calculatedColumnFormula>SUMIFS(HicRawData[Beds HH w/ only Children],
HicRawData[Project Type],$I$2,
HicRawData[Inventory Type],"C",
HicRawData[Target Population],TH_TargetPopulation[[#This Row],[Beds by Target Population]])</calculatedColumnFormula>
    </tableColumn>
    <tableColumn id="5" xr3:uid="{591330F7-7DB9-4CA8-ABF0-C5A68332312E}" name="Total Year-Round Beds" totalsRowFunction="sum" dataDxfId="584" totalsRowDxfId="583" dataCellStyle="0DecWComma&amp;0">
      <calculatedColumnFormula>SUM(TH_TargetPopulation[[#This Row],[Households without Children]:[Households with only Children]])</calculatedColumnFormula>
    </tableColumn>
  </tableColumns>
  <tableStyleInfo name="HDXTableStyle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3F014FB-4456-47D5-8F61-A2E846D13762}" name="TH_InventoryType" displayName="TH_InventoryType" ref="A26:E29" totalsRowCount="1" headerRowDxfId="582" dataDxfId="581" totalsRowDxfId="580">
  <tableColumns count="5">
    <tableColumn id="1" xr3:uid="{F90B8545-C597-480F-9529-63E3A1D0A038}" name="Beds by Inventory Type" totalsRowLabel="Total" dataDxfId="579" totalsRowDxfId="578"/>
    <tableColumn id="2" xr3:uid="{900FBF02-D256-4F42-9181-D0C01B4B9F4A}" name="Households without Children" totalsRowFunction="sum" dataDxfId="577" totalsRowDxfId="576" dataCellStyle="0DecWComma&amp;0">
      <calculatedColumnFormula>SUMIFS(HicRawData[Beds HH w/o Children],
HicRawData[Project Type],$I$2,
HicRawData[Inventory Type],$I27)</calculatedColumnFormula>
    </tableColumn>
    <tableColumn id="3" xr3:uid="{25668241-F4C5-4F67-B22F-5A20AAB7E851}" name="Households with Children" totalsRowFunction="sum" dataDxfId="575" totalsRowDxfId="574" dataCellStyle="0DecWComma&amp;0">
      <calculatedColumnFormula>SUMIFS(HicRawData[Beds HH w/ Children],
HicRawData[Project Type],$I$2,
HicRawData[Inventory Type],$I27)</calculatedColumnFormula>
    </tableColumn>
    <tableColumn id="4" xr3:uid="{A812DE07-AFB0-4F61-B582-BEA6CAA05B31}" name="Households with only Children" totalsRowFunction="sum" dataDxfId="573" totalsRowDxfId="572" dataCellStyle="0DecWComma&amp;0">
      <calculatedColumnFormula>SUMIFS(HicRawData[Beds HH w/ only Children],
HicRawData[Project Type],$I$2,
HicRawData[Inventory Type],$I27)</calculatedColumnFormula>
    </tableColumn>
    <tableColumn id="5" xr3:uid="{EA0675CE-FB81-42D9-94E1-8558B82F0E28}" name="Total Year-Round Beds" totalsRowFunction="sum" dataDxfId="571" totalsRowDxfId="570" dataCellStyle="0DecWComma&amp;0">
      <calculatedColumnFormula>SUM(TH_InventoryType[[#This Row],[Households without Children]:[Households with only Children]])</calculatedColumnFormula>
    </tableColumn>
  </tableColumns>
  <tableStyleInfo name="HDXTableStyle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2C1094-40C0-4EA6-B682-720037ED8398}" name="AllBeds_HmisParticipation" displayName="AllBeds_HmisParticipation" ref="A6:E10" totalsRowCount="1" headerRowDxfId="787" dataDxfId="786" totalsRowDxfId="785">
  <tableColumns count="5">
    <tableColumn id="1" xr3:uid="{22FCF09E-84CA-42B0-903C-B27FD5847078}" name="Beds by HMIS Participation" totalsRowLabel="Total" dataDxfId="784" totalsRowDxfId="783"/>
    <tableColumn id="2" xr3:uid="{5C2C40D3-4A88-4385-AB5E-2E4571FF8C01}" name="Households without Children" totalsRowFunction="sum" dataDxfId="782" totalsRowDxfId="781" dataCellStyle="0DecWComma&amp;0" totalsRowCellStyle="0DecWComma&amp;0">
      <calculatedColumnFormula>SUMIFS(HicRawData[Beds HH w/o Children],
HicRawData[Project Type],$I$2,
HicRawData[Inventory Type],"C",
HicRawData[HMIS Participating],$I7)</calculatedColumnFormula>
    </tableColumn>
    <tableColumn id="3" xr3:uid="{FEE83F92-8CB2-4AC8-8C47-2AA06E332444}" name="Households with Children" totalsRowFunction="sum" dataDxfId="780" totalsRowDxfId="779" dataCellStyle="0DecWComma&amp;0" totalsRowCellStyle="0DecWComma&amp;0">
      <calculatedColumnFormula>SUMIFS(HicRawData[Beds HH w/ Children],
HicRawData[Project Type],$I$2,
HicRawData[Inventory Type],"C",
HicRawData[HMIS Participating],$I7)</calculatedColumnFormula>
    </tableColumn>
    <tableColumn id="4" xr3:uid="{6FFD598B-1A8F-4414-BE10-7F48F34707FA}" name="Households with only Children" totalsRowFunction="sum" dataDxfId="778" totalsRowDxfId="777" dataCellStyle="0DecWComma&amp;0" totalsRowCellStyle="0DecWComma&amp;0">
      <calculatedColumnFormula>SUMIFS(HicRawData[Beds HH w/ only Children],
HicRawData[Project Type],$I$2,
HicRawData[Inventory Type],"C",
HicRawData[HMIS Participating],$I7)</calculatedColumnFormula>
    </tableColumn>
    <tableColumn id="5" xr3:uid="{8291C306-527A-4DDF-AB81-A0BC7D3136D8}" name="Total Year-Round Beds" totalsRowFunction="sum" dataDxfId="776" totalsRowDxfId="775" dataCellStyle="0DecWComma&amp;0" totalsRowCellStyle="0DecWComma&amp;0">
      <calculatedColumnFormula>SUM(AllBeds_HmisParticipation[[#This Row],[Households without Children]:[Households with only Children]])</calculatedColumnFormula>
    </tableColumn>
  </tableColumns>
  <tableStyleInfo name="HDXTableStyle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741D6DC-7D4D-492D-9C02-D49C4D45AF72}" name="TH_ProjectType" displayName="TH_ProjectType" ref="A37:E44" totalsRowCount="1" headerRowDxfId="569" dataDxfId="568">
  <tableColumns count="5">
    <tableColumn id="1" xr3:uid="{82D32A4C-E67F-4F9D-96E6-FA885AD15FB6}" name="All Beds by Project Type" totalsRowLabel="Total" dataDxfId="567" totalsRowDxfId="566"/>
    <tableColumn id="2" xr3:uid="{5599AF8E-A202-4A5B-8047-026342874087}" name="Households without Children" totalsRowFunction="sum" dataDxfId="565" totalsRowDxfId="564" dataCellStyle="0DecWComma&amp;0">
      <calculatedColumnFormula>SUMIFS(HicRawData[Beds HH w/o Children],
HicRawData[Project Type],$I$2,
HicRawData[Inventory Type],"C",
HicRawData[Project Type], TH_ProjectType[[#This Row],[All Beds by Project Type]])</calculatedColumnFormula>
    </tableColumn>
    <tableColumn id="3" xr3:uid="{DF0DF6FE-BAFC-4792-975E-19FFCA3C5927}" name="Households with Children" totalsRowFunction="sum" dataDxfId="563" totalsRowDxfId="562" dataCellStyle="0DecWComma&amp;0">
      <calculatedColumnFormula>SUMIFS(HicRawData[Beds HH w/ Children],
HicRawData[Project Type],$I$2,
HicRawData[Inventory Type],"C",
HicRawData[Project Type], TH_ProjectType[[#This Row],[All Beds by Project Type]])</calculatedColumnFormula>
    </tableColumn>
    <tableColumn id="4" xr3:uid="{6172AFEC-82A8-439A-A481-A87DCCD67C45}" name="Households with only Children" totalsRowFunction="sum" dataDxfId="561" totalsRowDxfId="560" dataCellStyle="0DecWComma&amp;0">
      <calculatedColumnFormula>SUMIFS(HicRawData[Beds HH w/ only Children],
HicRawData[Project Type],$I$2,
HicRawData[Inventory Type],"C",
HicRawData[Project Type], TH_ProjectType[[#This Row],[All Beds by Project Type]])</calculatedColumnFormula>
    </tableColumn>
    <tableColumn id="5" xr3:uid="{E998185A-3A6B-48A6-A66A-FA863AE9CAE8}" name="Total Year-Round Beds" totalsRowFunction="sum" dataDxfId="559" totalsRowDxfId="558" dataCellStyle="0DecWComma&amp;0">
      <calculatedColumnFormula>SUM(TH_ProjectType[[#This Row],[Households without Children]:[Households with only Children]])</calculatedColumnFormula>
    </tableColumn>
  </tableColumns>
  <tableStyleInfo name="HDXTableStyle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6164F56-6077-40C1-B5EF-32EA79B438D4}" name="TH_ProjectTypeHmisParticipation" displayName="TH_ProjectTypeHmisParticipation" ref="A46:E53" totalsRowCount="1" headerRowDxfId="557" dataDxfId="556">
  <tableColumns count="5">
    <tableColumn id="1" xr3:uid="{EFDEE470-DE91-4DC6-AD11-544C01BF4348}" name="HMIS Beds by Project Type" totalsRowLabel="Total" dataDxfId="555" totalsRowDxfId="554"/>
    <tableColumn id="2" xr3:uid="{A42936EF-345D-491A-BB59-CB8022B73932}" name="Households without Children" totalsRowFunction="sum" dataDxfId="553" totalsRowDxfId="552" dataCellStyle="0DecWComma&amp;0" totalsRowCellStyle="0DecWComma&amp;0">
      <calculatedColumnFormula>SUMIFS(HicRawData[Beds HH w/o Children],
HicRawData[Project Type],$I$2,
HicRawData[Inventory Type],"C",
HicRawData[Project Type], TH_ProjectTypeHmisParticipation[[#This Row],[HMIS Beds by Project Type]],
HicRawData[HMIS Participating], "Yes")</calculatedColumnFormula>
    </tableColumn>
    <tableColumn id="3" xr3:uid="{DF898687-E9D5-475D-8F1F-8AEE48C1D0AB}" name="Households with Children" totalsRowFunction="sum" dataDxfId="551" totalsRowDxfId="550" dataCellStyle="0DecWComma&amp;0" totalsRowCellStyle="0DecWComma&amp;0">
      <calculatedColumnFormula>SUMIFS(HicRawData[Beds HH w/ Children],
HicRawData[Project Type],$I$2,
HicRawData[Inventory Type],"C",
HicRawData[Project Type], TH_ProjectTypeHmisParticipation[[#This Row],[HMIS Beds by Project Type]],
HicRawData[HMIS Participating], "Yes")</calculatedColumnFormula>
    </tableColumn>
    <tableColumn id="4" xr3:uid="{EEE5ECFC-DA0A-4776-8D9A-AF52C771968F}" name="Households with only Children" totalsRowFunction="sum" dataDxfId="549" totalsRowDxfId="548" dataCellStyle="0DecWComma&amp;0" totalsRowCellStyle="0DecWComma&amp;0">
      <calculatedColumnFormula>SUMIFS(HicRawData[Beds HH w/ only Children],
HicRawData[Project Type],$I$2,
HicRawData[Inventory Type],"C",
HicRawData[Project Type], TH_ProjectTypeHmisParticipation[[#This Row],[HMIS Beds by Project Type]],
HicRawData[HMIS Participating], "Yes")</calculatedColumnFormula>
    </tableColumn>
    <tableColumn id="5" xr3:uid="{AD770990-FF10-4AF3-89CF-880DA3CED035}" name="Total Year-Round Beds" totalsRowFunction="sum" totalsRowDxfId="547" dataCellStyle="0DecWComma&amp;0" totalsRowCellStyle="0DecWComma&amp;0">
      <calculatedColumnFormula>B47+C47+D47</calculatedColumnFormula>
    </tableColumn>
  </tableColumns>
  <tableStyleInfo name="HDXTableStyle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0FE6D5D-B9BF-4F77-9E55-F4207641C393}" name="SH_HmisParticipation" displayName="SH_HmisParticipation" ref="A6:E10" totalsRowCount="1" headerRowDxfId="546" dataDxfId="545" totalsRowDxfId="544">
  <tableColumns count="5">
    <tableColumn id="1" xr3:uid="{852988AB-4CEA-4A6F-BFC9-6A4961178F5A}" name="Beds by HMIS Participation" totalsRowLabel="Total" dataDxfId="543" totalsRowDxfId="542"/>
    <tableColumn id="2" xr3:uid="{478F8ABA-A5D3-4C4E-B2B9-BCC2A3441C77}" name="Households without Children" totalsRowFunction="sum" dataDxfId="541" totalsRowDxfId="540" dataCellStyle="0DecWComma&amp;0" totalsRowCellStyle="0DecWComma&amp;0">
      <calculatedColumnFormula>SUMIFS(HicRawData[Beds HH w/o Children],
HicRawData[Project Type],$I$2,
HicRawData[Inventory Type],"C",
HicRawData[HMIS Participating],$I7)</calculatedColumnFormula>
    </tableColumn>
    <tableColumn id="3" xr3:uid="{21FB94EF-143E-46C8-86D1-4EB35FFAE272}" name="Households with Children" totalsRowFunction="sum" dataDxfId="539" totalsRowDxfId="538" dataCellStyle="0DecWComma&amp;0" totalsRowCellStyle="0DecWComma&amp;0">
      <calculatedColumnFormula>SUMIFS(HicRawData[Beds HH w/ Children],
HicRawData[Project Type],$I$2,
HicRawData[Inventory Type],"C",
HicRawData[HMIS Participating],$I7)</calculatedColumnFormula>
    </tableColumn>
    <tableColumn id="4" xr3:uid="{4CB76CD1-C76F-4031-A991-5176817086DE}" name="Households with only Children" totalsRowFunction="sum" dataDxfId="537" totalsRowDxfId="536" dataCellStyle="0DecWComma&amp;0" totalsRowCellStyle="0DecWComma&amp;0">
      <calculatedColumnFormula>SUMIFS(HicRawData[Beds HH w/ only Children],
HicRawData[Project Type],$I$2,
HicRawData[Inventory Type],"C",
HicRawData[HMIS Participating],$I7)</calculatedColumnFormula>
    </tableColumn>
    <tableColumn id="5" xr3:uid="{3EECA672-0F02-4B10-ACEC-9AC2A10D3A78}" name="Total Year-Round Beds" totalsRowFunction="sum" dataDxfId="535" totalsRowDxfId="534" dataCellStyle="0DecWComma&amp;0" totalsRowCellStyle="0DecWComma&amp;0">
      <calculatedColumnFormula>SUM(SH_HmisParticipation[[#This Row],[Households without Children]:[Households with only Children]])</calculatedColumnFormula>
    </tableColumn>
  </tableColumns>
  <tableStyleInfo name="HDXTableStyle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D48FAD1-0F12-442C-9B69-0308E80DF446}" name="SH_NonVspHmisParticipation" displayName="SH_NonVspHmisParticipation" ref="A13:E17" totalsRowCount="1" headerRowDxfId="533" dataDxfId="532" totalsRowDxfId="531">
  <tableColumns count="5">
    <tableColumn id="1" xr3:uid="{BBBF66A2-03D8-4D85-A509-8AEC8EE643F2}" name="Non-VSP* Beds by HMIS Participation" totalsRowLabel="Total" dataDxfId="530" totalsRowDxfId="529"/>
    <tableColumn id="2" xr3:uid="{B9AFB40A-E3ED-46DD-9635-76550CE0D565}" name="Households without Children" totalsRowFunction="sum" dataDxfId="528" totalsRowDxfId="527"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FF5B2B4A-9C4C-44FB-BD6D-158615890E06}" name="Households with Children" totalsRowFunction="sum" dataDxfId="526" totalsRowDxfId="525"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83D42483-AE9B-4C2B-A9C4-64BF1FA9F8DD}" name="Households with only Children" totalsRowFunction="sum" dataDxfId="524" totalsRowDxfId="523"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256F6962-F064-4FDC-9119-F866F58E6FE4}" name="Total Year-Round Beds" totalsRowFunction="sum" dataDxfId="522" totalsRowDxfId="521" dataCellStyle="0DecWComma&amp;0" totalsRowCellStyle="0DecWComma&amp;0">
      <calculatedColumnFormula>SUM(SH_NonVspHmisParticipation[[#This Row],[Households without Children]:[Households with only Children]])</calculatedColumnFormula>
    </tableColumn>
  </tableColumns>
  <tableStyleInfo name="HDXTableStyle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04D684E-D5A1-40ED-BEE6-A86B518ADC49}" name="SH_TargetPopulation" displayName="SH_TargetPopulation" ref="A20:E24" totalsRowCount="1" headerRowDxfId="520" dataDxfId="519" totalsRowDxfId="518">
  <tableColumns count="5">
    <tableColumn id="1" xr3:uid="{79E1E425-8284-4EF1-807A-06BE4644D781}" name="Beds by Target Population" totalsRowLabel="Total" dataDxfId="517" totalsRowDxfId="516"/>
    <tableColumn id="2" xr3:uid="{BA973895-EB84-4A3B-975B-F97C518FFA09}" name="Households without Children" totalsRowFunction="sum" dataDxfId="515" totalsRowDxfId="514" dataCellStyle="0DecWComma&amp;0">
      <calculatedColumnFormula>SUMIFS(HicRawData[Beds HH w/o Children],
HicRawData[Project Type],$I$2,
HicRawData[Inventory Type],"C",
HicRawData[Target Population],SH_TargetPopulation[[#This Row],[Beds by Target Population]])</calculatedColumnFormula>
    </tableColumn>
    <tableColumn id="3" xr3:uid="{4A90B55C-50EA-4E24-BC47-FA4C167455C8}" name="Households with Children" totalsRowFunction="sum" dataDxfId="513" totalsRowDxfId="512" dataCellStyle="0DecWComma&amp;0">
      <calculatedColumnFormula>SUMIFS(HicRawData[Beds HH w/ Children],
HicRawData[Project Type],$I$2,
HicRawData[Inventory Type],"C",
HicRawData[Target Population],SH_TargetPopulation[[#This Row],[Beds by Target Population]])</calculatedColumnFormula>
    </tableColumn>
    <tableColumn id="4" xr3:uid="{EEDFDC8A-128D-4538-871C-C31FFC6F5D61}" name="Households with only Children" totalsRowFunction="sum" dataDxfId="511" totalsRowDxfId="510" dataCellStyle="0DecWComma&amp;0">
      <calculatedColumnFormula>SUMIFS(HicRawData[Beds HH w/ only Children],
HicRawData[Project Type],$I$2,
HicRawData[Inventory Type],"C",
HicRawData[Target Population],SH_TargetPopulation[[#This Row],[Beds by Target Population]])</calculatedColumnFormula>
    </tableColumn>
    <tableColumn id="5" xr3:uid="{653306A3-0EC2-4BB2-9A85-216B28FE498B}" name="Total Year-Round Beds" totalsRowFunction="sum" dataDxfId="509" totalsRowDxfId="508" dataCellStyle="0DecWComma&amp;0">
      <calculatedColumnFormula>SUM(SH_TargetPopulation[[#This Row],[Households without Children]:[Households with only Children]])</calculatedColumnFormula>
    </tableColumn>
  </tableColumns>
  <tableStyleInfo name="HDXTableStyle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0927B9A-D8B2-49AE-B981-87DB74536522}" name="SH_InventoryType" displayName="SH_InventoryType" ref="A26:E29" totalsRowCount="1" headerRowDxfId="507" dataDxfId="506" totalsRowDxfId="505">
  <tableColumns count="5">
    <tableColumn id="1" xr3:uid="{B21895A1-E344-49F8-9E62-9BAAEFD700FF}" name="Beds by Inventory Type" totalsRowLabel="Total" dataDxfId="504" totalsRowDxfId="503"/>
    <tableColumn id="2" xr3:uid="{960E22E6-B4A3-4CDC-9129-4EE45AC360B1}" name="Households without Children" totalsRowFunction="sum" dataDxfId="502" totalsRowDxfId="501" dataCellStyle="0DecWComma&amp;0">
      <calculatedColumnFormula>SUMIFS(HicRawData[Beds HH w/o Children],
HicRawData[Project Type],$I$2,
HicRawData[Inventory Type],$I27)</calculatedColumnFormula>
    </tableColumn>
    <tableColumn id="3" xr3:uid="{A672B474-CBEA-4025-BEAE-023D25A18A91}" name="Households with Children" totalsRowFunction="sum" dataDxfId="500" totalsRowDxfId="499" dataCellStyle="0DecWComma&amp;0">
      <calculatedColumnFormula>SUMIFS(HicRawData[Beds HH w/ Children],
HicRawData[Project Type],$I$2,
HicRawData[Inventory Type],$I27)</calculatedColumnFormula>
    </tableColumn>
    <tableColumn id="4" xr3:uid="{ED6FF62D-4443-463B-891F-EC9523E3F6C1}" name="Households with only Children" totalsRowFunction="sum" dataDxfId="498" totalsRowDxfId="497" dataCellStyle="0DecWComma&amp;0">
      <calculatedColumnFormula>SUMIFS(HicRawData[Beds HH w/ only Children],
HicRawData[Project Type],$I$2,
HicRawData[Inventory Type],$I27)</calculatedColumnFormula>
    </tableColumn>
    <tableColumn id="5" xr3:uid="{31D5A63B-FBEE-49B1-A683-0A26858A4EC4}" name="Total Year-Round Beds" totalsRowFunction="sum" dataDxfId="496" totalsRowDxfId="495" dataCellStyle="0DecWComma&amp;0">
      <calculatedColumnFormula>SUM(SH_InventoryType[[#This Row],[Households without Children]:[Households with only Children]])</calculatedColumnFormula>
    </tableColumn>
  </tableColumns>
  <tableStyleInfo name="HDXTableStyle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5311C37-6392-477E-B6D4-5E298D807FDC}" name="SH_ProjectType" displayName="SH_ProjectType" ref="A37:E44" totalsRowCount="1" headerRowDxfId="494" dataDxfId="493">
  <tableColumns count="5">
    <tableColumn id="1" xr3:uid="{CDA2E104-2DBC-41B5-A133-179E042F4216}" name="All Beds by Project Type" totalsRowLabel="Total" dataDxfId="492" totalsRowDxfId="491"/>
    <tableColumn id="2" xr3:uid="{5FE088BB-15AE-4A3E-989B-DA409988826B}" name="Households without Children" totalsRowFunction="sum" dataDxfId="490" totalsRowDxfId="489" dataCellStyle="0DecWComma&amp;0">
      <calculatedColumnFormula>SUMIFS(HicRawData[Beds HH w/o Children],
HicRawData[Project Type],$I$2,
HicRawData[Inventory Type],"C",
HicRawData[Project Type], SH_ProjectType[[#This Row],[All Beds by Project Type]])</calculatedColumnFormula>
    </tableColumn>
    <tableColumn id="3" xr3:uid="{C15FB49A-AAB0-43E0-B5EB-C401EC240CA3}" name="Households with Children" totalsRowFunction="sum" dataDxfId="488" totalsRowDxfId="487" dataCellStyle="0DecWComma&amp;0">
      <calculatedColumnFormula>SUMIFS(HicRawData[Beds HH w/ Children],
HicRawData[Project Type],$I$2,
HicRawData[Inventory Type],"C",
HicRawData[Project Type], SH_ProjectType[[#This Row],[All Beds by Project Type]])</calculatedColumnFormula>
    </tableColumn>
    <tableColumn id="4" xr3:uid="{CBB1AFD6-AD8A-4676-8A20-F20EB01928EC}" name="Households with only Children" totalsRowFunction="sum" dataDxfId="486" totalsRowDxfId="485" dataCellStyle="0DecWComma&amp;0">
      <calculatedColumnFormula>SUMIFS(HicRawData[Beds HH w/ only Children],
HicRawData[Project Type],$I$2,
HicRawData[Inventory Type],"C",
HicRawData[Project Type], SH_ProjectType[[#This Row],[All Beds by Project Type]])</calculatedColumnFormula>
    </tableColumn>
    <tableColumn id="5" xr3:uid="{8ECF124B-B927-429B-BFBC-41F4B680908D}" name="Total Year-Round Beds" totalsRowFunction="sum" dataDxfId="484" totalsRowDxfId="483" dataCellStyle="0DecWComma&amp;0">
      <calculatedColumnFormula>SUM(SH_ProjectType[[#This Row],[Households without Children]:[Households with only Children]])</calculatedColumnFormula>
    </tableColumn>
  </tableColumns>
  <tableStyleInfo name="HDXTableStyle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D5DD99A-55EE-435B-9733-66CFB0652CBC}" name="SH_ProjectTypeHmisParticipation" displayName="SH_ProjectTypeHmisParticipation" ref="A46:E53" totalsRowCount="1" headerRowDxfId="482" dataDxfId="481">
  <tableColumns count="5">
    <tableColumn id="1" xr3:uid="{6F89AB36-67EB-4604-8E00-790484E9432F}" name="HMIS Beds by Project Type" totalsRowLabel="Total" dataDxfId="480" totalsRowDxfId="479"/>
    <tableColumn id="2" xr3:uid="{6E67B0FF-B1F7-4B8B-91E2-46A3827AA936}" name="Households without Children" totalsRowFunction="sum" dataDxfId="478" totalsRowDxfId="477" dataCellStyle="0DecWComma&amp;0" totalsRowCellStyle="0DecWComma&amp;0">
      <calculatedColumnFormula>SUMIFS(HicRawData[Beds HH w/o Children],
HicRawData[Project Type],$I$2,
HicRawData[Inventory Type],"C",
HicRawData[Project Type], SH_ProjectTypeHmisParticipation[[#This Row],[HMIS Beds by Project Type]],
HicRawData[HMIS Participating], "Yes")</calculatedColumnFormula>
    </tableColumn>
    <tableColumn id="3" xr3:uid="{FD3A97A9-8A7A-479C-9BEC-FD4704AFB7C4}" name="Households with Children" totalsRowFunction="sum" dataDxfId="476" totalsRowDxfId="475" dataCellStyle="0DecWComma&amp;0" totalsRowCellStyle="0DecWComma&amp;0">
      <calculatedColumnFormula>SUMIFS(HicRawData[Beds HH w/ Children],
HicRawData[Project Type],$I$2,
HicRawData[Inventory Type],"C",
HicRawData[Project Type], SH_ProjectTypeHmisParticipation[[#This Row],[HMIS Beds by Project Type]],
HicRawData[HMIS Participating], "Yes")</calculatedColumnFormula>
    </tableColumn>
    <tableColumn id="4" xr3:uid="{7750754B-D51F-472E-BEAB-75C129E8B5DD}" name="Households with only Children" totalsRowFunction="sum" dataDxfId="474" totalsRowDxfId="473" dataCellStyle="0DecWComma&amp;0" totalsRowCellStyle="0DecWComma&amp;0">
      <calculatedColumnFormula>SUMIFS(HicRawData[Beds HH w/ only Children],
HicRawData[Project Type],$I$2,
HicRawData[Inventory Type],"C",
HicRawData[Project Type], SH_ProjectTypeHmisParticipation[[#This Row],[HMIS Beds by Project Type]],
HicRawData[HMIS Participating], "Yes")</calculatedColumnFormula>
    </tableColumn>
    <tableColumn id="5" xr3:uid="{D68E6EFB-D128-4E69-A204-19755F9DB537}" name="Total Year-Round Beds" totalsRowFunction="sum" totalsRowDxfId="472" dataCellStyle="0DecWComma&amp;0" totalsRowCellStyle="0DecWComma&amp;0">
      <calculatedColumnFormula>B47+C47+D47</calculatedColumnFormula>
    </tableColumn>
  </tableColumns>
  <tableStyleInfo name="HDXTableStyle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16C47A2-08C5-40BF-8A07-26C983D646CF}" name="PSH_HmisParticipation" displayName="PSH_HmisParticipation" ref="A6:E10" totalsRowCount="1" headerRowDxfId="471" dataDxfId="470" totalsRowDxfId="469">
  <tableColumns count="5">
    <tableColumn id="1" xr3:uid="{9EBB750C-A49C-45DB-9DE5-94D932C80CC8}" name="Beds by HMIS Participation" totalsRowLabel="Total" dataDxfId="468" totalsRowDxfId="467"/>
    <tableColumn id="2" xr3:uid="{2F3F1ED1-94A0-4530-8FD7-5C30BC83AA40}" name="Households without Children" totalsRowFunction="sum" dataDxfId="466" totalsRowDxfId="465" dataCellStyle="0DecWComma&amp;0" totalsRowCellStyle="0DecWComma&amp;0">
      <calculatedColumnFormula>SUMIFS(HicRawData[Beds HH w/o Children],
HicRawData[Project Type],$I$2,
HicRawData[Inventory Type],"C",
HicRawData[HMIS Participating],$I7)</calculatedColumnFormula>
    </tableColumn>
    <tableColumn id="3" xr3:uid="{062774EC-4781-451A-9704-27327ADE7D5B}" name="Households with Children" totalsRowFunction="sum" dataDxfId="464" totalsRowDxfId="463" dataCellStyle="0DecWComma&amp;0" totalsRowCellStyle="0DecWComma&amp;0">
      <calculatedColumnFormula>SUMIFS(HicRawData[Beds HH w/ Children],
HicRawData[Project Type],$I$2,
HicRawData[Inventory Type],"C",
HicRawData[HMIS Participating],$I7)</calculatedColumnFormula>
    </tableColumn>
    <tableColumn id="4" xr3:uid="{F3EDB20D-98F7-4A68-8AF4-C8A42F7D8A26}" name="Households with only Children" totalsRowFunction="sum" dataDxfId="462" totalsRowDxfId="461" dataCellStyle="0DecWComma&amp;0" totalsRowCellStyle="0DecWComma&amp;0">
      <calculatedColumnFormula>SUMIFS(HicRawData[Beds HH w/ only Children],
HicRawData[Project Type],$I$2,
HicRawData[Inventory Type],"C",
HicRawData[HMIS Participating],$I7)</calculatedColumnFormula>
    </tableColumn>
    <tableColumn id="5" xr3:uid="{C9AA4E36-62E0-4B16-8999-FE60DF42FD62}" name="Total Year-Round Beds" totalsRowFunction="sum" dataDxfId="460" totalsRowDxfId="459" dataCellStyle="0DecWComma&amp;0" totalsRowCellStyle="0DecWComma&amp;0">
      <calculatedColumnFormula>SUM(PSH_HmisParticipation[[#This Row],[Households without Children]:[Households with only Children]])</calculatedColumnFormula>
    </tableColumn>
  </tableColumns>
  <tableStyleInfo name="HDXTableStyle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C00F06B-87A1-4F13-A655-60FED30F62E1}" name="PSH_NonVspHmisParticipation" displayName="PSH_NonVspHmisParticipation" ref="A13:E17" totalsRowCount="1" headerRowDxfId="458" dataDxfId="457" totalsRowDxfId="456">
  <tableColumns count="5">
    <tableColumn id="1" xr3:uid="{0FD0F255-AB80-41DD-9481-224DF5D9AB22}" name="Non-VSP* Beds by HMIS Participation" totalsRowLabel="Total" dataDxfId="455" totalsRowDxfId="454"/>
    <tableColumn id="2" xr3:uid="{67D15A48-0342-4931-8BDC-251390763506}" name="Households without Children" totalsRowFunction="sum" dataDxfId="453" totalsRowDxfId="452"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06678302-C9FD-420A-A9D8-844D0E7D600D}" name="Households with Children" totalsRowFunction="sum" dataDxfId="451" totalsRowDxfId="450"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D000521A-E765-454B-9AB1-4952D2CE94E4}" name="Households with only Children" totalsRowFunction="sum" dataDxfId="449" totalsRowDxfId="448"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6F92729D-1824-4FB8-8DB2-4F6413C2C1ED}" name="Total Year-Round Beds" totalsRowFunction="sum" dataDxfId="447" totalsRowDxfId="446" dataCellStyle="0DecWComma&amp;0" totalsRowCellStyle="0DecWComma&amp;0">
      <calculatedColumnFormula>SUM(PSH_NonVspHmisParticipation[[#This Row],[Households without Children]:[Households with only Children]])</calculatedColumnFormula>
    </tableColumn>
  </tableColumns>
  <tableStyleInfo name="HDX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7305F9-A236-4EDF-9E0F-CC76D25E6A65}" name="AllBeds_NonVspHmisParticipation" displayName="AllBeds_NonVspHmisParticipation" ref="A13:E17" totalsRowCount="1" headerRowDxfId="774" dataDxfId="773" totalsRowDxfId="772">
  <tableColumns count="5">
    <tableColumn id="1" xr3:uid="{2F6A779D-BF4D-442C-8CFD-3F2852565804}" name="Non-VSP* Beds by HMIS Participation" totalsRowLabel="Total" dataDxfId="771" totalsRowDxfId="770"/>
    <tableColumn id="2" xr3:uid="{5CB5C028-F042-41D4-A3A0-936CFB06117F}" name="Households without Children" totalsRowFunction="sum" dataDxfId="769" totalsRowDxfId="768"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8674C14E-A143-4D72-89FA-6F4AC463ADC6}" name="Households with Children" totalsRowFunction="sum" dataDxfId="767" totalsRowDxfId="766"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026CFB03-E327-4A9D-8599-2C66D02DF8A3}" name="Households with only Children" totalsRowFunction="sum" dataDxfId="765" totalsRowDxfId="764"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9BCA5D7A-E923-40EF-8C2B-2A31E4A35C07}" name="Total Year-Round Beds" totalsRowFunction="sum" dataDxfId="763" totalsRowDxfId="762" dataCellStyle="0DecWComma&amp;0" totalsRowCellStyle="0DecWComma&amp;0">
      <calculatedColumnFormula>SUM(AllBeds_NonVspHmisParticipation[[#This Row],[Households without Children]:[Households with only Children]])</calculatedColumnFormula>
    </tableColumn>
  </tableColumns>
  <tableStyleInfo name="HDXTableStyle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D5F1685-0D15-42E9-9E52-5A77A3BFA635}" name="PSH_TargetPopulation" displayName="PSH_TargetPopulation" ref="A20:E24" totalsRowCount="1" headerRowDxfId="445" dataDxfId="444" totalsRowDxfId="443">
  <tableColumns count="5">
    <tableColumn id="1" xr3:uid="{EF4DC942-ACAA-4C68-9736-F08BA1AE10D7}" name="Beds by Target Population" totalsRowLabel="Total" dataDxfId="442" totalsRowDxfId="441"/>
    <tableColumn id="2" xr3:uid="{5BA256E4-485D-483D-B2C5-15ACA3DA94DB}" name="Households without Children" totalsRowFunction="sum" dataDxfId="440" totalsRowDxfId="439" dataCellStyle="0DecWComma&amp;0">
      <calculatedColumnFormula>SUMIFS(HicRawData[Beds HH w/o Children],
HicRawData[Project Type],$I$2,
HicRawData[Inventory Type],"C",
HicRawData[Target Population],PSH_TargetPopulation[[#This Row],[Beds by Target Population]])</calculatedColumnFormula>
    </tableColumn>
    <tableColumn id="3" xr3:uid="{11F52919-D615-4141-B57A-899080208075}" name="Households with Children" totalsRowFunction="sum" dataDxfId="438" totalsRowDxfId="437" dataCellStyle="0DecWComma&amp;0">
      <calculatedColumnFormula>SUMIFS(HicRawData[Beds HH w/ Children],
HicRawData[Project Type],$I$2,
HicRawData[Inventory Type],"C",
HicRawData[Target Population],PSH_TargetPopulation[[#This Row],[Beds by Target Population]])</calculatedColumnFormula>
    </tableColumn>
    <tableColumn id="4" xr3:uid="{EB24CBC0-0F10-4F8F-8E58-A86D9032F2F1}" name="Households with only Children" totalsRowFunction="sum" dataDxfId="436" totalsRowDxfId="435" dataCellStyle="0DecWComma&amp;0">
      <calculatedColumnFormula>SUMIFS(HicRawData[Beds HH w/ only Children],
HicRawData[Project Type],$I$2,
HicRawData[Inventory Type],"C",
HicRawData[Target Population],PSH_TargetPopulation[[#This Row],[Beds by Target Population]])</calculatedColumnFormula>
    </tableColumn>
    <tableColumn id="5" xr3:uid="{E163402F-BE9E-4972-9F59-58F0CE98423F}" name="Total Year-Round Beds" totalsRowFunction="sum" dataDxfId="434" totalsRowDxfId="433" dataCellStyle="0DecWComma&amp;0">
      <calculatedColumnFormula>SUM(PSH_TargetPopulation[[#This Row],[Households without Children]:[Households with only Children]])</calculatedColumnFormula>
    </tableColumn>
  </tableColumns>
  <tableStyleInfo name="HDXTableStyle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73603740-8BA8-4EE8-B14E-253CCBE5AAF1}" name="PSH_InventoryType" displayName="PSH_InventoryType" ref="A26:E29" totalsRowCount="1" headerRowDxfId="432" dataDxfId="431" totalsRowDxfId="430">
  <tableColumns count="5">
    <tableColumn id="1" xr3:uid="{F0AE3375-EE68-425E-988E-92529D95F8A1}" name="Beds by Inventory Type" totalsRowLabel="Total" dataDxfId="429" totalsRowDxfId="428"/>
    <tableColumn id="2" xr3:uid="{2B77C666-0225-40A9-A7C5-75F88EC7CE0B}" name="Households without Children" totalsRowFunction="sum" dataDxfId="427" totalsRowDxfId="426" dataCellStyle="0DecWComma&amp;0">
      <calculatedColumnFormula>SUMIFS(HicRawData[Beds HH w/o Children],
HicRawData[Project Type],$I$2,
HicRawData[Inventory Type],$I27)</calculatedColumnFormula>
    </tableColumn>
    <tableColumn id="3" xr3:uid="{E5FCF06D-BA9E-48CE-94C9-3595EC93C36C}" name="Households with Children" totalsRowFunction="sum" dataDxfId="425" totalsRowDxfId="424" dataCellStyle="0DecWComma&amp;0">
      <calculatedColumnFormula>SUMIFS(HicRawData[Beds HH w/ Children],
HicRawData[Project Type],$I$2,
HicRawData[Inventory Type],$I27)</calculatedColumnFormula>
    </tableColumn>
    <tableColumn id="4" xr3:uid="{9C827E2C-FC39-4434-A59C-DA9D3400B820}" name="Households with only Children" totalsRowFunction="sum" dataDxfId="423" totalsRowDxfId="422" dataCellStyle="0DecWComma&amp;0">
      <calculatedColumnFormula>SUMIFS(HicRawData[Beds HH w/ only Children],
HicRawData[Project Type],$I$2,
HicRawData[Inventory Type],$I27)</calculatedColumnFormula>
    </tableColumn>
    <tableColumn id="5" xr3:uid="{D6A54987-F95D-4A7C-9A3D-C9F33CD66EB8}" name="Total Year-Round Beds" totalsRowFunction="sum" dataDxfId="421" totalsRowDxfId="420" dataCellStyle="0DecWComma&amp;0">
      <calculatedColumnFormula>SUM(PSH_InventoryType[[#This Row],[Households without Children]:[Households with only Children]])</calculatedColumnFormula>
    </tableColumn>
  </tableColumns>
  <tableStyleInfo name="HDXTableStyle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51CA627-B106-4627-A04F-8A38690AF2C8}" name="PSH_ProjectType" displayName="PSH_ProjectType" ref="A37:E44" totalsRowCount="1" headerRowDxfId="419" dataDxfId="418">
  <tableColumns count="5">
    <tableColumn id="1" xr3:uid="{D4799DB6-BF8A-4451-8BFD-CF2B8CE869AC}" name="All Beds by Project Type" totalsRowLabel="Total" dataDxfId="417" totalsRowDxfId="416"/>
    <tableColumn id="2" xr3:uid="{0D1AA227-D1C7-473F-94B8-833F53FB0D1B}" name="Households without Children" totalsRowFunction="sum" dataDxfId="415" totalsRowDxfId="414" dataCellStyle="0DecWComma&amp;0">
      <calculatedColumnFormula>SUMIFS(HicRawData[Beds HH w/o Children],
HicRawData[Project Type],$I$2,
HicRawData[Inventory Type],"C",
HicRawData[Project Type], PSH_ProjectType[[#This Row],[All Beds by Project Type]])</calculatedColumnFormula>
    </tableColumn>
    <tableColumn id="3" xr3:uid="{F58D5809-F9BE-4756-AC32-01139788259D}" name="Households with Children" totalsRowFunction="sum" dataDxfId="413" totalsRowDxfId="412" dataCellStyle="0DecWComma&amp;0">
      <calculatedColumnFormula>SUMIFS(HicRawData[Beds HH w/ Children],
HicRawData[Project Type],$I$2,
HicRawData[Inventory Type],"C",
HicRawData[Project Type], PSH_ProjectType[[#This Row],[All Beds by Project Type]])</calculatedColumnFormula>
    </tableColumn>
    <tableColumn id="4" xr3:uid="{2AE6F514-0ED5-4B93-8C59-50402E76833E}" name="Households with only Children" totalsRowFunction="sum" dataDxfId="411" totalsRowDxfId="410" dataCellStyle="0DecWComma&amp;0">
      <calculatedColumnFormula>SUMIFS(HicRawData[Beds HH w/ only Children],
HicRawData[Project Type],$I$2,
HicRawData[Inventory Type],"C",
HicRawData[Project Type], PSH_ProjectType[[#This Row],[All Beds by Project Type]])</calculatedColumnFormula>
    </tableColumn>
    <tableColumn id="5" xr3:uid="{089B76D8-55FB-4463-A5FD-37B49652A098}" name="Total Year-Round Beds" totalsRowFunction="sum" dataDxfId="409" totalsRowDxfId="408" dataCellStyle="0DecWComma&amp;0">
      <calculatedColumnFormula>SUM(PSH_ProjectType[[#This Row],[Households without Children]:[Households with only Children]])</calculatedColumnFormula>
    </tableColumn>
  </tableColumns>
  <tableStyleInfo name="HDXTableStyle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51E02B8A-CCD6-4B0F-90CC-005ED6D32DBF}" name="PSH_ProjectTypeHmisParticipation" displayName="PSH_ProjectTypeHmisParticipation" ref="A46:E53" totalsRowCount="1" headerRowDxfId="407" dataDxfId="406">
  <tableColumns count="5">
    <tableColumn id="1" xr3:uid="{583C4D3F-FF6D-4635-BB1A-08EEADFBF5B8}" name="HMIS Beds by Project Type" totalsRowLabel="Total" dataDxfId="405" totalsRowDxfId="404"/>
    <tableColumn id="2" xr3:uid="{DBF4FD44-61D3-45CF-90CB-71ABFFEC8F48}" name="Households without Children" totalsRowFunction="sum" dataDxfId="403" totalsRowDxfId="402" dataCellStyle="0DecWComma&amp;0" totalsRowCellStyle="0DecWComma&amp;0">
      <calculatedColumnFormula>SUMIFS(HicRawData[Beds HH w/o Children],
HicRawData[Project Type],$I$2,
HicRawData[Inventory Type],"C",
HicRawData[Project Type], PSH_ProjectTypeHmisParticipation[[#This Row],[HMIS Beds by Project Type]],
HicRawData[HMIS Participating], "Yes")</calculatedColumnFormula>
    </tableColumn>
    <tableColumn id="3" xr3:uid="{13E116FF-3509-49D1-82ED-5048D4D7BD71}" name="Households with Children" totalsRowFunction="sum" dataDxfId="401" totalsRowDxfId="400" dataCellStyle="0DecWComma&amp;0" totalsRowCellStyle="0DecWComma&amp;0">
      <calculatedColumnFormula>SUMIFS(HicRawData[Beds HH w/ Children],
HicRawData[Project Type],$I$2,
HicRawData[Inventory Type],"C",
HicRawData[Project Type], PSH_ProjectTypeHmisParticipation[[#This Row],[HMIS Beds by Project Type]],
HicRawData[HMIS Participating], "Yes")</calculatedColumnFormula>
    </tableColumn>
    <tableColumn id="4" xr3:uid="{7CF9BBB7-4254-4C06-B9AC-840487A4D77E}" name="Households with only Children" totalsRowFunction="sum" dataDxfId="399" totalsRowDxfId="398" dataCellStyle="0DecWComma&amp;0" totalsRowCellStyle="0DecWComma&amp;0">
      <calculatedColumnFormula>SUMIFS(HicRawData[Beds HH w/ only Children],
HicRawData[Project Type],$I$2,
HicRawData[Inventory Type],"C",
HicRawData[Project Type], PSH_ProjectTypeHmisParticipation[[#This Row],[HMIS Beds by Project Type]],
HicRawData[HMIS Participating], "Yes")</calculatedColumnFormula>
    </tableColumn>
    <tableColumn id="5" xr3:uid="{8F362C9E-3D6A-46FE-B2D9-A65255397860}" name="Total Year-Round Beds" totalsRowFunction="sum" totalsRowDxfId="397" dataCellStyle="0DecWComma&amp;0" totalsRowCellStyle="0DecWComma&amp;0">
      <calculatedColumnFormula>B47+C47+D47</calculatedColumnFormula>
    </tableColumn>
  </tableColumns>
  <tableStyleInfo name="HDXTableStyle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6016159D-1B36-4466-BDA0-58A2FBCB241C}" name="OPH_HmisParticipation" displayName="OPH_HmisParticipation" ref="A6:E10" totalsRowCount="1" headerRowDxfId="396" dataDxfId="395" totalsRowDxfId="394">
  <tableColumns count="5">
    <tableColumn id="1" xr3:uid="{81AEFD2E-A5B9-4378-B17A-88676E09A7D8}" name="Beds by HMIS Participation" totalsRowLabel="Total" dataDxfId="393" totalsRowDxfId="392"/>
    <tableColumn id="2" xr3:uid="{0220AD8D-2A6A-400E-A3F6-8B5B1C2E3F50}" name="Households without Children" totalsRowFunction="sum" dataDxfId="391" totalsRowDxfId="390" dataCellStyle="0DecWComma&amp;0" totalsRowCellStyle="0DecWComma&amp;0">
      <calculatedColumnFormula>SUMIFS(HicRawData[Beds HH w/o Children],
HicRawData[Project Type],$I$2,
HicRawData[Inventory Type],"C",
HicRawData[HMIS Participating],$I7)</calculatedColumnFormula>
    </tableColumn>
    <tableColumn id="3" xr3:uid="{98875292-78D3-44EF-BF77-0F9D7F5EB52F}" name="Households with Children" totalsRowFunction="sum" dataDxfId="389" totalsRowDxfId="388" dataCellStyle="0DecWComma&amp;0" totalsRowCellStyle="0DecWComma&amp;0">
      <calculatedColumnFormula>SUMIFS(HicRawData[Beds HH w/ Children],
HicRawData[Project Type],$I$2,
HicRawData[Inventory Type],"C",
HicRawData[HMIS Participating],$I7)</calculatedColumnFormula>
    </tableColumn>
    <tableColumn id="4" xr3:uid="{A279A004-F0DA-4D64-81C8-EBC049FFD05C}" name="Households with only Children" totalsRowFunction="sum" dataDxfId="387" totalsRowDxfId="386" dataCellStyle="0DecWComma&amp;0" totalsRowCellStyle="0DecWComma&amp;0">
      <calculatedColumnFormula>SUMIFS(HicRawData[Beds HH w/ only Children],
HicRawData[Project Type],$I$2,
HicRawData[Inventory Type],"C",
HicRawData[HMIS Participating],$I7)</calculatedColumnFormula>
    </tableColumn>
    <tableColumn id="5" xr3:uid="{02EEF0D7-9A7E-4A1C-ABB3-8477F7E8E9E5}" name="Total Year-Round Beds" totalsRowFunction="sum" dataDxfId="385" totalsRowDxfId="384" dataCellStyle="0DecWComma&amp;0" totalsRowCellStyle="0DecWComma&amp;0">
      <calculatedColumnFormula>SUM(OPH_HmisParticipation[[#This Row],[Households without Children]:[Households with only Children]])</calculatedColumnFormula>
    </tableColumn>
  </tableColumns>
  <tableStyleInfo name="HDXTableStyle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D6D42EF8-5941-4A65-A71D-677A910A9784}" name="OPH_NonVspHmisParticipation" displayName="OPH_NonVspHmisParticipation" ref="A13:E17" totalsRowCount="1" headerRowDxfId="383" dataDxfId="382" totalsRowDxfId="381">
  <tableColumns count="5">
    <tableColumn id="1" xr3:uid="{1AC0E292-9F49-425C-9D42-7C5CABBF103B}" name="Non-VSP* Beds by HMIS Participation" totalsRowLabel="Total" dataDxfId="380" totalsRowDxfId="379"/>
    <tableColumn id="2" xr3:uid="{3DBC967E-0DE5-4440-B33E-A9F0EE1EAF9E}" name="Households without Children" totalsRowFunction="sum" dataDxfId="378" totalsRowDxfId="377"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57917C05-DB1D-46E6-9753-A0928A96532C}" name="Households with Children" totalsRowFunction="sum" dataDxfId="376" totalsRowDxfId="375"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8FF863D3-6F6A-4794-84DA-10FE4F35991F}" name="Households with only Children" totalsRowFunction="sum" dataDxfId="374" totalsRowDxfId="373"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3314DF71-2189-4676-B860-9F4044494FEB}" name="Total Year-Round Beds" totalsRowFunction="sum" dataDxfId="372" totalsRowDxfId="371" dataCellStyle="0DecWComma&amp;0" totalsRowCellStyle="0DecWComma&amp;0">
      <calculatedColumnFormula>SUM(OPH_NonVspHmisParticipation[[#This Row],[Households without Children]:[Households with only Children]])</calculatedColumnFormula>
    </tableColumn>
  </tableColumns>
  <tableStyleInfo name="HDXTableStyle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21563D85-A2F4-4F51-8DA7-5D54E1011204}" name="OPH_TargetPopulation" displayName="OPH_TargetPopulation" ref="A20:E24" totalsRowCount="1" headerRowDxfId="370" dataDxfId="369" totalsRowDxfId="368">
  <tableColumns count="5">
    <tableColumn id="1" xr3:uid="{AC73C412-0D69-4B02-BB3A-34D76BAFD159}" name="Beds by Target Population" totalsRowLabel="Total" dataDxfId="367" totalsRowDxfId="366"/>
    <tableColumn id="2" xr3:uid="{353FD164-5406-4457-9F05-1F2AD46A66CA}" name="Households without Children" totalsRowFunction="sum" dataDxfId="365" totalsRowDxfId="364" dataCellStyle="0DecWComma&amp;0">
      <calculatedColumnFormula>SUMIFS(HicRawData[Beds HH w/o Children],
HicRawData[Project Type],$I$2,
HicRawData[Inventory Type],"C",
HicRawData[Target Population],OPH_TargetPopulation[[#This Row],[Beds by Target Population]])</calculatedColumnFormula>
    </tableColumn>
    <tableColumn id="3" xr3:uid="{8C28B07A-1439-4AF4-BEAA-E2D2344DAD27}" name="Households with Children" totalsRowFunction="sum" dataDxfId="363" totalsRowDxfId="362" dataCellStyle="0DecWComma&amp;0">
      <calculatedColumnFormula>SUMIFS(HicRawData[Beds HH w/ Children],
HicRawData[Project Type],$I$2,
HicRawData[Inventory Type],"C",
HicRawData[Target Population],OPH_TargetPopulation[[#This Row],[Beds by Target Population]])</calculatedColumnFormula>
    </tableColumn>
    <tableColumn id="4" xr3:uid="{59AA067D-4D76-4302-84F8-EACC8273491A}" name="Households with only Children" totalsRowFunction="sum" dataDxfId="361" totalsRowDxfId="360" dataCellStyle="0DecWComma&amp;0">
      <calculatedColumnFormula>SUMIFS(HicRawData[Beds HH w/ only Children],
HicRawData[Project Type],$I$2,
HicRawData[Inventory Type],"C",
HicRawData[Target Population],OPH_TargetPopulation[[#This Row],[Beds by Target Population]])</calculatedColumnFormula>
    </tableColumn>
    <tableColumn id="5" xr3:uid="{401262E9-2C71-46A3-8578-D8345F6E7D7E}" name="Total Year-Round Beds" totalsRowFunction="sum" dataDxfId="359" totalsRowDxfId="358" dataCellStyle="0DecWComma&amp;0">
      <calculatedColumnFormula>SUM(OPH_TargetPopulation[[#This Row],[Households without Children]:[Households with only Children]])</calculatedColumnFormula>
    </tableColumn>
  </tableColumns>
  <tableStyleInfo name="HDXTableStyle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6EB822B-BB2A-4496-8902-D9A65938EF78}" name="OPH_InventoryType" displayName="OPH_InventoryType" ref="A26:E29" totalsRowCount="1" headerRowDxfId="357" dataDxfId="356" totalsRowDxfId="355">
  <tableColumns count="5">
    <tableColumn id="1" xr3:uid="{738C56A0-7B03-4979-A327-9654CC783279}" name="Beds by Inventory Type" totalsRowLabel="Total" dataDxfId="354" totalsRowDxfId="353"/>
    <tableColumn id="2" xr3:uid="{07C64B39-4968-4032-88F8-CA8D650E9F4A}" name="Households without Children" totalsRowFunction="sum" dataDxfId="352" totalsRowDxfId="351" dataCellStyle="0DecWComma&amp;0">
      <calculatedColumnFormula>SUMIFS(HicRawData[Beds HH w/o Children],
HicRawData[Project Type],$I$2,
HicRawData[Inventory Type],$I27)</calculatedColumnFormula>
    </tableColumn>
    <tableColumn id="3" xr3:uid="{FA820232-F0E6-4FA0-8FE5-733063FB156F}" name="Households with Children" totalsRowFunction="sum" dataDxfId="350" totalsRowDxfId="349" dataCellStyle="0DecWComma&amp;0">
      <calculatedColumnFormula>SUMIFS(HicRawData[Beds HH w/ Children],
HicRawData[Project Type],$I$2,
HicRawData[Inventory Type],$I27)</calculatedColumnFormula>
    </tableColumn>
    <tableColumn id="4" xr3:uid="{B04EFAC2-1030-47E8-AED1-FD3A08CC9D96}" name="Households with only Children" totalsRowFunction="sum" dataDxfId="348" totalsRowDxfId="347" dataCellStyle="0DecWComma&amp;0">
      <calculatedColumnFormula>SUMIFS(HicRawData[Beds HH w/ only Children],
HicRawData[Project Type],$I$2,
HicRawData[Inventory Type],$I27)</calculatedColumnFormula>
    </tableColumn>
    <tableColumn id="5" xr3:uid="{5A431A70-5205-4C83-AECF-4E0A1FE8B08C}" name="Total Year-Round Beds" totalsRowFunction="sum" dataDxfId="346" totalsRowDxfId="345" dataCellStyle="0DecWComma&amp;0">
      <calculatedColumnFormula>SUM(OPH_InventoryType[[#This Row],[Households without Children]:[Households with only Children]])</calculatedColumnFormula>
    </tableColumn>
  </tableColumns>
  <tableStyleInfo name="HDXTableStyle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87F9906-FFC5-40B1-9DD8-74F89F1D95C5}" name="OPH_ProjectType" displayName="OPH_ProjectType" ref="A37:E44" totalsRowCount="1" headerRowDxfId="344" dataDxfId="343">
  <tableColumns count="5">
    <tableColumn id="1" xr3:uid="{B0B68A98-820C-496A-A630-693D1A7E5598}" name="All Beds by Project Type" totalsRowLabel="Total" dataDxfId="342" totalsRowDxfId="341"/>
    <tableColumn id="2" xr3:uid="{10E75D25-943D-4B0F-AF4B-656F2DDDF798}" name="Households without Children" totalsRowFunction="sum" dataDxfId="340" totalsRowDxfId="339" dataCellStyle="0DecWComma&amp;0">
      <calculatedColumnFormula>SUMIFS(HicRawData[Beds HH w/o Children],
HicRawData[Project Type],$I$2,
HicRawData[Inventory Type],"C",
HicRawData[Project Type], OPH_ProjectType[[#This Row],[All Beds by Project Type]])</calculatedColumnFormula>
    </tableColumn>
    <tableColumn id="3" xr3:uid="{E844160C-8256-4D4B-A251-A1FAEF11C2D7}" name="Households with Children" totalsRowFunction="sum" dataDxfId="338" totalsRowDxfId="337" dataCellStyle="0DecWComma&amp;0">
      <calculatedColumnFormula>SUMIFS(HicRawData[Beds HH w/ Children],
HicRawData[Project Type],$I$2,
HicRawData[Inventory Type],"C",
HicRawData[Project Type], OPH_ProjectType[[#This Row],[All Beds by Project Type]])</calculatedColumnFormula>
    </tableColumn>
    <tableColumn id="4" xr3:uid="{FDEDC261-CC40-4FB9-B814-CDFD4CF1E17D}" name="Households with only Children" totalsRowFunction="sum" dataDxfId="336" totalsRowDxfId="335" dataCellStyle="0DecWComma&amp;0">
      <calculatedColumnFormula>SUMIFS(HicRawData[Beds HH w/ only Children],
HicRawData[Project Type],$I$2,
HicRawData[Inventory Type],"C",
HicRawData[Project Type], OPH_ProjectType[[#This Row],[All Beds by Project Type]])</calculatedColumnFormula>
    </tableColumn>
    <tableColumn id="5" xr3:uid="{2E564CD7-408D-494F-8C07-4CC0417EAC5E}" name="Total Year-Round Beds" totalsRowFunction="sum" dataDxfId="334" totalsRowDxfId="333" dataCellStyle="0DecWComma&amp;0">
      <calculatedColumnFormula>SUM(OPH_ProjectType[[#This Row],[Households without Children]:[Households with only Children]])</calculatedColumnFormula>
    </tableColumn>
  </tableColumns>
  <tableStyleInfo name="HDXTableStyle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18079FB6-9918-4495-A465-32FBEE204BDD}" name="OPH_ProjectTypeHmisParticipation" displayName="OPH_ProjectTypeHmisParticipation" ref="A46:E53" totalsRowCount="1" headerRowDxfId="332" dataDxfId="331">
  <tableColumns count="5">
    <tableColumn id="1" xr3:uid="{F40CBAA7-6B20-45FE-9981-47A17EF7E5FB}" name="HMIS Beds by Project Type" totalsRowLabel="Total" dataDxfId="330" totalsRowDxfId="329"/>
    <tableColumn id="2" xr3:uid="{D1F0C35A-C149-44FD-96C1-8B419356611A}" name="Households without Children" totalsRowFunction="sum" dataDxfId="328" totalsRowDxfId="327" dataCellStyle="0DecWComma&amp;0" totalsRowCellStyle="0DecWComma&amp;0">
      <calculatedColumnFormula>SUMIFS(HicRawData[Beds HH w/o Children],
HicRawData[Project Type],$I$2,
HicRawData[Inventory Type],"C",
HicRawData[Project Type], OPH_ProjectTypeHmisParticipation[[#This Row],[HMIS Beds by Project Type]],
HicRawData[HMIS Participating], "Yes")</calculatedColumnFormula>
    </tableColumn>
    <tableColumn id="3" xr3:uid="{440AE3FE-6E29-4027-B9D0-E09F34139950}" name="Households with Children" totalsRowFunction="sum" dataDxfId="326" totalsRowDxfId="325" dataCellStyle="0DecWComma&amp;0" totalsRowCellStyle="0DecWComma&amp;0">
      <calculatedColumnFormula>SUMIFS(HicRawData[Beds HH w/ Children],
HicRawData[Project Type],$I$2,
HicRawData[Inventory Type],"C",
HicRawData[Project Type], OPH_ProjectTypeHmisParticipation[[#This Row],[HMIS Beds by Project Type]],
HicRawData[HMIS Participating], "Yes")</calculatedColumnFormula>
    </tableColumn>
    <tableColumn id="4" xr3:uid="{4B09CC62-8CD6-4400-85B4-9EAC897265D3}" name="Households with only Children" totalsRowFunction="sum" dataDxfId="324" totalsRowDxfId="323" dataCellStyle="0DecWComma&amp;0" totalsRowCellStyle="0DecWComma&amp;0">
      <calculatedColumnFormula>SUMIFS(HicRawData[Beds HH w/ only Children],
HicRawData[Project Type],$I$2,
HicRawData[Inventory Type],"C",
HicRawData[Project Type], OPH_ProjectTypeHmisParticipation[[#This Row],[HMIS Beds by Project Type]],
HicRawData[HMIS Participating], "Yes")</calculatedColumnFormula>
    </tableColumn>
    <tableColumn id="5" xr3:uid="{13AF3042-F89D-4160-8F63-AC6F3CBE2312}" name="Total Year-Round Beds" totalsRowFunction="sum" totalsRowDxfId="322" dataCellStyle="0DecWComma&amp;0" totalsRowCellStyle="0DecWComma&amp;0">
      <calculatedColumnFormula>B47+C47+D47</calculatedColumnFormula>
    </tableColumn>
  </tableColumns>
  <tableStyleInfo name="HDXTableStyle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193740-3347-48B7-9BB2-22B8D4A6956A}" name="AllBeds_TargetPopulation" displayName="AllBeds_TargetPopulation" ref="A20:E24" totalsRowCount="1" headerRowDxfId="761" dataDxfId="760" totalsRowDxfId="759">
  <tableColumns count="5">
    <tableColumn id="1" xr3:uid="{A6A751F2-69D6-495F-A281-B3DADBAACA97}" name="Beds by Target Population" totalsRowLabel="Total" dataDxfId="758" totalsRowDxfId="757"/>
    <tableColumn id="2" xr3:uid="{39829B17-4C52-428E-92EB-EB350BA687C1}" name="Households without Children" totalsRowFunction="sum" dataDxfId="756" totalsRowDxfId="755" dataCellStyle="0DecWComma&amp;0">
      <calculatedColumnFormula>SUMIFS(HicRawData[Beds HH w/o Children],
HicRawData[Project Type],$I$2,
HicRawData[Inventory Type],"C",
HicRawData[Target Population],AllBeds_TargetPopulation[[#This Row],[Beds by Target Population]])</calculatedColumnFormula>
    </tableColumn>
    <tableColumn id="3" xr3:uid="{A98F2679-A6DC-4013-B260-D4D8AEE10405}" name="Households with Children" totalsRowFunction="sum" dataDxfId="754" totalsRowDxfId="753" dataCellStyle="0DecWComma&amp;0">
      <calculatedColumnFormula>SUMIFS(HicRawData[Beds HH w/ Children],
HicRawData[Project Type],$I$2,
HicRawData[Inventory Type],"C",
HicRawData[Target Population],AllBeds_TargetPopulation[[#This Row],[Beds by Target Population]])</calculatedColumnFormula>
    </tableColumn>
    <tableColumn id="4" xr3:uid="{10D60AAB-7697-45B9-9CC4-AD6B7AA85C73}" name="Households with only Children" totalsRowFunction="sum" dataDxfId="752" totalsRowDxfId="751" dataCellStyle="0DecWComma&amp;0">
      <calculatedColumnFormula>SUMIFS(HicRawData[Beds HH w/ only Children],
HicRawData[Project Type],$I$2,
HicRawData[Inventory Type],"C",
HicRawData[Target Population],AllBeds_TargetPopulation[[#This Row],[Beds by Target Population]])</calculatedColumnFormula>
    </tableColumn>
    <tableColumn id="5" xr3:uid="{DF88FA86-8AB6-44C0-9209-F523166BFAA0}" name="Total Year-Round Beds" totalsRowFunction="sum" dataDxfId="750" totalsRowDxfId="749" dataCellStyle="0DecWComma&amp;0">
      <calculatedColumnFormula>SUM(AllBeds_TargetPopulation[[#This Row],[Households without Children]:[Households with only Children]])</calculatedColumnFormula>
    </tableColumn>
  </tableColumns>
  <tableStyleInfo name="HDXTableStyle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26B96CDE-3B2E-4023-ADD2-23928B4EEEE7}" name="RRH_HmisParticipation" displayName="RRH_HmisParticipation" ref="A6:E10" totalsRowCount="1" headerRowDxfId="321" dataDxfId="320" totalsRowDxfId="319">
  <tableColumns count="5">
    <tableColumn id="1" xr3:uid="{1DEC3A9F-2EA0-4D26-89FC-B33C5D1B97A3}" name="Beds by HMIS Participation" totalsRowLabel="Total" dataDxfId="318" totalsRowDxfId="317"/>
    <tableColumn id="2" xr3:uid="{7B27151F-7052-4665-916E-B6A86286CFD4}" name="Households without Children" totalsRowFunction="sum" dataDxfId="316" totalsRowDxfId="315" dataCellStyle="0DecWComma&amp;0" totalsRowCellStyle="0DecWComma&amp;0">
      <calculatedColumnFormula>SUMIFS(HicRawData[Beds HH w/o Children],
HicRawData[Project Type],$I$2,
HicRawData[Inventory Type],"C",
HicRawData[HMIS Participating],$I7)</calculatedColumnFormula>
    </tableColumn>
    <tableColumn id="3" xr3:uid="{1959F3CD-038B-4E43-9EE0-2CE6D9E934AD}" name="Households with Children" totalsRowFunction="sum" dataDxfId="314" totalsRowDxfId="313" dataCellStyle="0DecWComma&amp;0" totalsRowCellStyle="0DecWComma&amp;0">
      <calculatedColumnFormula>SUMIFS(HicRawData[Beds HH w/ Children],
HicRawData[Project Type],$I$2,
HicRawData[Inventory Type],"C",
HicRawData[HMIS Participating],$I7)</calculatedColumnFormula>
    </tableColumn>
    <tableColumn id="4" xr3:uid="{2EA3BF19-B545-4E55-BF8F-A457EDE365F8}" name="Households with only Children" totalsRowFunction="sum" dataDxfId="312" totalsRowDxfId="311" dataCellStyle="0DecWComma&amp;0" totalsRowCellStyle="0DecWComma&amp;0">
      <calculatedColumnFormula>SUMIFS(HicRawData[Beds HH w/ only Children],
HicRawData[Project Type],$I$2,
HicRawData[Inventory Type],"C",
HicRawData[HMIS Participating],$I7)</calculatedColumnFormula>
    </tableColumn>
    <tableColumn id="5" xr3:uid="{B290B834-D290-4894-82AC-5930C0BE3B3D}" name="Total Year-Round Beds" totalsRowFunction="sum" dataDxfId="310" totalsRowDxfId="309" dataCellStyle="0DecWComma&amp;0" totalsRowCellStyle="0DecWComma&amp;0">
      <calculatedColumnFormula>SUM(RRH_HmisParticipation[[#This Row],[Households without Children]:[Households with only Children]])</calculatedColumnFormula>
    </tableColumn>
  </tableColumns>
  <tableStyleInfo name="HDXTableStyle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DD46578F-5284-47F4-A048-C05738874463}" name="RRH_NonVspHmisParticipation" displayName="RRH_NonVspHmisParticipation" ref="A13:E17" totalsRowCount="1" headerRowDxfId="308" dataDxfId="307" totalsRowDxfId="306">
  <tableColumns count="5">
    <tableColumn id="1" xr3:uid="{60DBBEDC-3C50-4A2D-ADF1-58D2EF0025B4}" name="Non-VSP* Beds by HMIS Participation" totalsRowLabel="Total" dataDxfId="305" totalsRowDxfId="304"/>
    <tableColumn id="2" xr3:uid="{AEF0E240-2E5A-4705-81E9-54F1AF2AD1D6}" name="Households without Children" totalsRowFunction="sum" dataDxfId="303" totalsRowDxfId="302"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7FB2555B-5DFA-4690-99C1-9B849B145FF7}" name="Households with Children" totalsRowFunction="sum" dataDxfId="301" totalsRowDxfId="300"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2000B8FE-B512-408E-A25E-F48149C1E67D}" name="Households with only Children" totalsRowFunction="sum" dataDxfId="299" totalsRowDxfId="298"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0BBD1858-A0D2-46B5-8C2F-93B4BEDD40B6}" name="Total Year-Round Beds" totalsRowFunction="sum" dataDxfId="297" totalsRowDxfId="296" dataCellStyle="0DecWComma&amp;0" totalsRowCellStyle="0DecWComma&amp;0">
      <calculatedColumnFormula>SUM(RRH_NonVspHmisParticipation[[#This Row],[Households without Children]:[Households with only Children]])</calculatedColumnFormula>
    </tableColumn>
  </tableColumns>
  <tableStyleInfo name="HDXTableStyle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C7849901-739C-47BB-9477-6CEA870CE546}" name="RRH_TargetPopulation" displayName="RRH_TargetPopulation" ref="A20:E24" totalsRowCount="1" headerRowDxfId="295" dataDxfId="294" totalsRowDxfId="293">
  <tableColumns count="5">
    <tableColumn id="1" xr3:uid="{F97D621F-481F-42C2-AE5B-D0D86FB9ABC4}" name="Beds by Target Population" totalsRowLabel="Total" dataDxfId="292" totalsRowDxfId="291"/>
    <tableColumn id="2" xr3:uid="{E9DAFA9A-C13E-478E-979D-3D22980F89F2}" name="Households without Children" totalsRowFunction="sum" dataDxfId="290" totalsRowDxfId="289" dataCellStyle="0DecWComma&amp;0">
      <calculatedColumnFormula>SUMIFS(HicRawData[Beds HH w/o Children],
HicRawData[Project Type],$I$2,
HicRawData[Inventory Type],"C",
HicRawData[Target Population],RRH_TargetPopulation[[#This Row],[Beds by Target Population]])</calculatedColumnFormula>
    </tableColumn>
    <tableColumn id="3" xr3:uid="{69A96CF0-ADB3-4BF2-AA9D-99540C6DCE71}" name="Households with Children" totalsRowFunction="sum" dataDxfId="288" totalsRowDxfId="287" dataCellStyle="0DecWComma&amp;0">
      <calculatedColumnFormula>SUMIFS(HicRawData[Beds HH w/ Children],
HicRawData[Project Type],$I$2,
HicRawData[Inventory Type],"C",
HicRawData[Target Population],RRH_TargetPopulation[[#This Row],[Beds by Target Population]])</calculatedColumnFormula>
    </tableColumn>
    <tableColumn id="4" xr3:uid="{08BA684A-66E2-4D09-91FC-D577F9A39347}" name="Households with only Children" totalsRowFunction="sum" dataDxfId="286" totalsRowDxfId="285" dataCellStyle="0DecWComma&amp;0">
      <calculatedColumnFormula>SUMIFS(HicRawData[Beds HH w/ only Children],
HicRawData[Project Type],$I$2,
HicRawData[Inventory Type],"C",
HicRawData[Target Population],RRH_TargetPopulation[[#This Row],[Beds by Target Population]])</calculatedColumnFormula>
    </tableColumn>
    <tableColumn id="5" xr3:uid="{90D35D72-017D-4C06-85DE-B9AA9ED70B5C}" name="Total Year-Round Beds" totalsRowFunction="sum" dataDxfId="284" totalsRowDxfId="283" dataCellStyle="0DecWComma&amp;0">
      <calculatedColumnFormula>SUM(RRH_TargetPopulation[[#This Row],[Households without Children]:[Households with only Children]])</calculatedColumnFormula>
    </tableColumn>
  </tableColumns>
  <tableStyleInfo name="HDXTableStyle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67E85AA9-EEC8-4461-8F62-0263134FF263}" name="RRH_InventoryType" displayName="RRH_InventoryType" ref="A26:E29" totalsRowCount="1" headerRowDxfId="282" dataDxfId="281" totalsRowDxfId="280">
  <tableColumns count="5">
    <tableColumn id="1" xr3:uid="{D630EB36-D89C-4C0B-9DD6-76D011A737EF}" name="Beds by Inventory Type" totalsRowLabel="Total" dataDxfId="279" totalsRowDxfId="278"/>
    <tableColumn id="2" xr3:uid="{94FB664E-F192-4A45-A714-33B3B41BD7DF}" name="Households without Children" totalsRowFunction="sum" dataDxfId="277" totalsRowDxfId="276" dataCellStyle="0DecWComma&amp;0">
      <calculatedColumnFormula>SUMIFS(HicRawData[Beds HH w/o Children],
HicRawData[Project Type],$I$2,
HicRawData[Inventory Type],$I27)</calculatedColumnFormula>
    </tableColumn>
    <tableColumn id="3" xr3:uid="{A0B75E53-E3A2-4A7D-B7DA-020EA30BA6B1}" name="Households with Children" totalsRowFunction="sum" dataDxfId="275" totalsRowDxfId="274" dataCellStyle="0DecWComma&amp;0">
      <calculatedColumnFormula>SUMIFS(HicRawData[Beds HH w/ Children],
HicRawData[Project Type],$I$2,
HicRawData[Inventory Type],$I27)</calculatedColumnFormula>
    </tableColumn>
    <tableColumn id="4" xr3:uid="{E32AF4C6-16AD-4B15-93BB-804E415C88B7}" name="Households with only Children" totalsRowFunction="sum" dataDxfId="273" totalsRowDxfId="272" dataCellStyle="0DecWComma&amp;0">
      <calculatedColumnFormula>SUMIFS(HicRawData[Beds HH w/ only Children],
HicRawData[Project Type],$I$2,
HicRawData[Inventory Type],$I27)</calculatedColumnFormula>
    </tableColumn>
    <tableColumn id="5" xr3:uid="{DC9FF198-6210-4A69-86E8-BE5D6F50405D}" name="Total Year-Round Beds" totalsRowFunction="sum" dataDxfId="271" totalsRowDxfId="270" dataCellStyle="0DecWComma&amp;0">
      <calculatedColumnFormula>SUM(RRH_InventoryType[[#This Row],[Households without Children]:[Households with only Children]])</calculatedColumnFormula>
    </tableColumn>
  </tableColumns>
  <tableStyleInfo name="HDXTableStyle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611734FE-778D-4D4C-AF74-DF40E26ED42E}" name="RRH_ProjectType" displayName="RRH_ProjectType" ref="A37:E44" totalsRowCount="1" headerRowDxfId="269" dataDxfId="268">
  <tableColumns count="5">
    <tableColumn id="1" xr3:uid="{89700347-7FF6-4716-88F1-07A11AC766E0}" name="All Beds by Project Type" totalsRowLabel="Total" dataDxfId="267" totalsRowDxfId="266"/>
    <tableColumn id="2" xr3:uid="{7373A692-4F39-4B6A-AB62-EFA8CFEEF07B}" name="Households without Children" totalsRowFunction="sum" dataDxfId="265" totalsRowDxfId="264" dataCellStyle="0DecWComma&amp;0">
      <calculatedColumnFormula>SUMIFS(HicRawData[Beds HH w/o Children],
HicRawData[Project Type],$I$2,
HicRawData[Inventory Type],"C",
HicRawData[Project Type], RRH_ProjectType[[#This Row],[All Beds by Project Type]])</calculatedColumnFormula>
    </tableColumn>
    <tableColumn id="3" xr3:uid="{8C5AE461-F90B-4503-A5D4-20171496196F}" name="Households with Children" totalsRowFunction="sum" dataDxfId="263" totalsRowDxfId="262" dataCellStyle="0DecWComma&amp;0">
      <calculatedColumnFormula>SUMIFS(HicRawData[Beds HH w/ Children],
HicRawData[Project Type],$I$2,
HicRawData[Inventory Type],"C",
HicRawData[Project Type], RRH_ProjectType[[#This Row],[All Beds by Project Type]])</calculatedColumnFormula>
    </tableColumn>
    <tableColumn id="4" xr3:uid="{AF439F2D-D0A5-4024-8D91-6DEC3B3EA857}" name="Households with only Children" totalsRowFunction="sum" dataDxfId="261" totalsRowDxfId="260" dataCellStyle="0DecWComma&amp;0">
      <calculatedColumnFormula>SUMIFS(HicRawData[Beds HH w/ only Children],
HicRawData[Project Type],$I$2,
HicRawData[Inventory Type],"C",
HicRawData[Project Type], RRH_ProjectType[[#This Row],[All Beds by Project Type]])</calculatedColumnFormula>
    </tableColumn>
    <tableColumn id="5" xr3:uid="{1F41F952-8437-4C79-AB5B-3471666041A2}" name="Total Year-Round Beds" totalsRowFunction="sum" dataDxfId="259" totalsRowDxfId="258" dataCellStyle="0DecWComma&amp;0">
      <calculatedColumnFormula>SUM(RRH_ProjectType[[#This Row],[Households without Children]:[Households with only Children]])</calculatedColumnFormula>
    </tableColumn>
  </tableColumns>
  <tableStyleInfo name="HDXTableStyle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916A6E81-CE1F-4F24-A92F-15A2FE174A2B}" name="RRH_ProjectTypeHmisParticipation" displayName="RRH_ProjectTypeHmisParticipation" ref="A46:E53" totalsRowCount="1" headerRowDxfId="257" dataDxfId="256">
  <tableColumns count="5">
    <tableColumn id="1" xr3:uid="{82605A21-F4D9-4E64-BFB2-443CE581D3B6}" name="HMIS Beds by Project Type" totalsRowLabel="Total" dataDxfId="255" totalsRowDxfId="254"/>
    <tableColumn id="2" xr3:uid="{E626C92F-A117-4548-B6BA-B810B11DEE75}" name="Households without Children" totalsRowFunction="sum" dataDxfId="253" totalsRowDxfId="252" dataCellStyle="0DecWComma&amp;0" totalsRowCellStyle="0DecWComma&amp;0">
      <calculatedColumnFormula>SUMIFS(HicRawData[Beds HH w/o Children],
HicRawData[Project Type],$I$2,
HicRawData[Inventory Type],"C",
HicRawData[Project Type], RRH_ProjectTypeHmisParticipation[[#This Row],[HMIS Beds by Project Type]],
HicRawData[HMIS Participating], "Yes")</calculatedColumnFormula>
    </tableColumn>
    <tableColumn id="3" xr3:uid="{CE0EA723-3EC1-4FF0-973F-D64BCA6D4495}" name="Households with Children" totalsRowFunction="sum" dataDxfId="251" totalsRowDxfId="250" dataCellStyle="0DecWComma&amp;0" totalsRowCellStyle="0DecWComma&amp;0">
      <calculatedColumnFormula>SUMIFS(HicRawData[Beds HH w/ Children],
HicRawData[Project Type],$I$2,
HicRawData[Inventory Type],"C",
HicRawData[Project Type], RRH_ProjectTypeHmisParticipation[[#This Row],[HMIS Beds by Project Type]],
HicRawData[HMIS Participating], "Yes")</calculatedColumnFormula>
    </tableColumn>
    <tableColumn id="4" xr3:uid="{95E0FF89-56E1-4A50-A141-1F237DCB4FA8}" name="Households with only Children" totalsRowFunction="sum" dataDxfId="249" totalsRowDxfId="248" dataCellStyle="0DecWComma&amp;0" totalsRowCellStyle="0DecWComma&amp;0">
      <calculatedColumnFormula>SUMIFS(HicRawData[Beds HH w/ only Children],
HicRawData[Project Type],$I$2,
HicRawData[Inventory Type],"C",
HicRawData[Project Type], RRH_ProjectTypeHmisParticipation[[#This Row],[HMIS Beds by Project Type]],
HicRawData[HMIS Participating], "Yes")</calculatedColumnFormula>
    </tableColumn>
    <tableColumn id="5" xr3:uid="{63C6096F-3DC7-4A5F-9A05-62ACA23C2923}" name="Total Year-Round Beds" totalsRowFunction="sum" totalsRowDxfId="247" dataCellStyle="0DecWComma&amp;0" totalsRowCellStyle="0DecWComma&amp;0">
      <calculatedColumnFormula>B47+C47+D47</calculatedColumnFormula>
    </tableColumn>
  </tableColumns>
  <tableStyleInfo name="HDXTableStyle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9F1210FA-E337-468C-A666-9E152200C2BD}" name="Chronic_HmisParticipation" displayName="Chronic_HmisParticipation" ref="A6:E10" totalsRowCount="1" headerRowDxfId="246" dataDxfId="245" totalsRowDxfId="244">
  <tableColumns count="5">
    <tableColumn id="1" xr3:uid="{DAF2F5DE-CFF7-45C5-B2DB-70CF0F0D2B78}" name="Beds by HMIS Participation" totalsRowLabel="Total" dataDxfId="243" totalsRowDxfId="242"/>
    <tableColumn id="2" xr3:uid="{8C0B1D26-9B02-4480-AA20-102D620A4B80}" name="Households without Children" totalsRowFunction="sum" dataDxfId="241" totalsRowDxfId="240" dataCellStyle="0DecWComma&amp;0" totalsRowCellStyle="0DecWComma&amp;0">
      <calculatedColumnFormula>SUMIFS(HicRawData[CH Beds HH w/o Children],
HicRawData[Project Type],$I$2,
HicRawData[Inventory Type],"C",
HicRawData[HMIS Participating],$I7)</calculatedColumnFormula>
    </tableColumn>
    <tableColumn id="3" xr3:uid="{E85C63B7-06C7-4FD3-B154-1F7BD7A43447}" name="Households with Children" totalsRowFunction="sum" dataDxfId="239" totalsRowDxfId="238" dataCellStyle="0DecWComma&amp;0" totalsRowCellStyle="0DecWComma&amp;0">
      <calculatedColumnFormula>SUMIFS(HicRawData[CH Beds HH w/ Children],
HicRawData[Project Type],$I$2,
HicRawData[Inventory Type],"C",
HicRawData[HMIS Participating],$I7)</calculatedColumnFormula>
    </tableColumn>
    <tableColumn id="4" xr3:uid="{2CFC7B89-24BA-468C-B97D-8C3B5F1FB8B9}" name="Households with only Children" totalsRowFunction="sum" dataDxfId="237" totalsRowDxfId="236" dataCellStyle="0DecWComma&amp;0" totalsRowCellStyle="0DecWComma&amp;0">
      <calculatedColumnFormula>SUMIFS(HicRawData[CH Beds HH w only Children],
HicRawData[Project Type],$I$2,
HicRawData[Inventory Type],"C",
HicRawData[HMIS Participating],$I7)</calculatedColumnFormula>
    </tableColumn>
    <tableColumn id="5" xr3:uid="{8CAF8932-7A2E-4ADC-8444-2050E2227F56}" name="Total Year-Round Beds" totalsRowFunction="sum" dataDxfId="235" totalsRowDxfId="234" dataCellStyle="0DecWComma&amp;0" totalsRowCellStyle="0DecWComma&amp;0">
      <calculatedColumnFormula>SUM(Chronic_HmisParticipation[[#This Row],[Households without Children]:[Households with only Children]])</calculatedColumnFormula>
    </tableColumn>
  </tableColumns>
  <tableStyleInfo name="HDXTableStyle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C2E1AB7-26AF-403C-99CD-6C4AE3C93D3B}" name="Chronic_NonVspHmisParticipation" displayName="Chronic_NonVspHmisParticipation" ref="A13:E17" totalsRowCount="1" headerRowDxfId="233" dataDxfId="232" totalsRowDxfId="231">
  <tableColumns count="5">
    <tableColumn id="1" xr3:uid="{98C91725-37DC-4973-8014-1AB0D8C8B62F}" name="Non-VSP* Beds by HMIS Participation" totalsRowLabel="Total" dataDxfId="230" totalsRowDxfId="229"/>
    <tableColumn id="2" xr3:uid="{79F26CDB-2F63-4EDC-8155-23E476B57283}" name="Households without Children" totalsRowFunction="sum" dataDxfId="228" totalsRowDxfId="227" dataCellStyle="0DecWComma&amp;0" totalsRowCellStyle="0DecWComma&amp;0">
      <calculatedColumnFormula>SUMIFS(HicRawData[CH Beds HH w/o Children],
HicRawData[Project Type],$I$2,
HicRawData[Inventory Type],"C",
HicRawData[HMIS Participating],$I14,
HicRawData[Victim Service Provider],0)</calculatedColumnFormula>
    </tableColumn>
    <tableColumn id="3" xr3:uid="{78E981F3-F123-4657-96FB-81EB9175EF51}" name="Households with Children" totalsRowFunction="sum" dataDxfId="226" totalsRowDxfId="225" dataCellStyle="0DecWComma&amp;0" totalsRowCellStyle="0DecWComma&amp;0">
      <calculatedColumnFormula>SUMIFS(HicRawData[CH Beds HH w/ Children],
HicRawData[Project Type],$I$2,
HicRawData[Inventory Type],"C",
HicRawData[HMIS Participating],$I14,
HicRawData[Victim Service Provider],0)</calculatedColumnFormula>
    </tableColumn>
    <tableColumn id="4" xr3:uid="{FAEEA4AD-BAF0-4AFA-8A1A-DB83A11F8DC0}" name="Households with only Children" totalsRowFunction="sum" dataDxfId="224" totalsRowDxfId="223" dataCellStyle="0DecWComma&amp;0" totalsRowCellStyle="0DecWComma&amp;0">
      <calculatedColumnFormula>SUMIFS(HicRawData[CH Beds HH w only Children],
HicRawData[Project Type],$I$2,
HicRawData[Inventory Type],"C",
HicRawData[HMIS Participating],$I14,
HicRawData[Victim Service Provider],0)</calculatedColumnFormula>
    </tableColumn>
    <tableColumn id="5" xr3:uid="{A163DD5F-D660-4958-BFBE-1111E70CF1A2}" name="Total Year-Round Beds" totalsRowFunction="sum" dataDxfId="222" totalsRowDxfId="221" dataCellStyle="0DecWComma&amp;0" totalsRowCellStyle="0DecWComma&amp;0">
      <calculatedColumnFormula>SUM(Chronic_NonVspHmisParticipation[[#This Row],[Households without Children]:[Households with only Children]])</calculatedColumnFormula>
    </tableColumn>
  </tableColumns>
  <tableStyleInfo name="HDXTableStyle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8B0ED0A0-4F5F-4F81-83A7-203490B5305C}" name="Chronic_TargetPopulation" displayName="Chronic_TargetPopulation" ref="A20:E24" totalsRowCount="1" headerRowDxfId="220" dataDxfId="219" totalsRowDxfId="218">
  <tableColumns count="5">
    <tableColumn id="1" xr3:uid="{695A807D-0887-43AC-A2BB-D245BEE59D2D}" name="Beds by Target Population" totalsRowLabel="Total" dataDxfId="217" totalsRowDxfId="216"/>
    <tableColumn id="2" xr3:uid="{BB14E2F8-09FA-4E2D-9D32-B485529D67D3}" name="Households without Children" totalsRowFunction="sum" dataDxfId="215" totalsRowDxfId="214" dataCellStyle="0DecWComma&amp;0">
      <calculatedColumnFormula>SUMIFS(HicRawData[CH Beds HH w/o Children],
HicRawData[Project Type],$I$2,
HicRawData[Inventory Type],"C",
HicRawData[Target Population],Chronic_TargetPopulation[[#This Row],[Beds by Target Population]])</calculatedColumnFormula>
    </tableColumn>
    <tableColumn id="3" xr3:uid="{D65ADB64-CCF2-4142-936F-E62017F42471}" name="Households with Children" totalsRowFunction="sum" dataDxfId="213" totalsRowDxfId="212" dataCellStyle="0DecWComma&amp;0">
      <calculatedColumnFormula>SUMIFS(HicRawData[CH Beds HH w/ Children],
HicRawData[Project Type],$I$2,
HicRawData[Inventory Type],"C",
HicRawData[Target Population],Chronic_TargetPopulation[[#This Row],[Beds by Target Population]])</calculatedColumnFormula>
    </tableColumn>
    <tableColumn id="4" xr3:uid="{8334CAF3-0A04-4EFF-AE1D-D46E1F836368}" name="Households with only Children" totalsRowFunction="sum" dataDxfId="211" totalsRowDxfId="210" dataCellStyle="0DecWComma&amp;0">
      <calculatedColumnFormula>SUMIFS(HicRawData[CH Beds HH w only Children],
HicRawData[Project Type],$I$2,
HicRawData[Inventory Type],"C",
HicRawData[Target Population],Chronic_TargetPopulation[[#This Row],[Beds by Target Population]])</calculatedColumnFormula>
    </tableColumn>
    <tableColumn id="5" xr3:uid="{6895DAE5-EC0C-49C0-9D59-FA2FA89CE0CB}" name="Total Year-Round Beds" totalsRowFunction="sum" dataDxfId="209" totalsRowDxfId="208" dataCellStyle="0DecWComma&amp;0">
      <calculatedColumnFormula>SUM(Chronic_TargetPopulation[[#This Row],[Households without Children]:[Households with only Children]])</calculatedColumnFormula>
    </tableColumn>
  </tableColumns>
  <tableStyleInfo name="HDXTableStyle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9AB38CD5-35D3-411B-92EC-0925C24C7DF8}" name="Chronic_InventoryType" displayName="Chronic_InventoryType" ref="A26:E29" totalsRowCount="1" headerRowDxfId="207" dataDxfId="206" totalsRowDxfId="205">
  <tableColumns count="5">
    <tableColumn id="1" xr3:uid="{0F480546-2E4E-4B64-A715-1286702951AB}" name="Beds by Inventory Type" totalsRowLabel="Total" dataDxfId="204" totalsRowDxfId="203"/>
    <tableColumn id="2" xr3:uid="{03A40574-4580-4889-BF25-D2252BD382B9}" name="Households without Children" totalsRowFunction="sum" dataDxfId="202" totalsRowDxfId="201" dataCellStyle="0DecWComma&amp;0">
      <calculatedColumnFormula>SUMIFS(HicRawData[CH Beds HH w/o Children],
HicRawData[Project Type],$I$2,
HicRawData[Inventory Type],$I27)</calculatedColumnFormula>
    </tableColumn>
    <tableColumn id="3" xr3:uid="{E6E4CBE6-6EB9-440E-96F8-4E2B41779AB6}" name="Households with Children" totalsRowFunction="sum" dataDxfId="200" totalsRowDxfId="199" dataCellStyle="0DecWComma&amp;0">
      <calculatedColumnFormula>SUMIFS(HicRawData[CH Beds HH w/ Children],
HicRawData[Project Type],$I$2,
HicRawData[Inventory Type],$I27)</calculatedColumnFormula>
    </tableColumn>
    <tableColumn id="4" xr3:uid="{56ECD853-AD9E-4D1A-A9B0-B9A81311DE3C}" name="Households with only Children" totalsRowFunction="sum" dataDxfId="198" totalsRowDxfId="197" dataCellStyle="0DecWComma&amp;0">
      <calculatedColumnFormula>SUMIFS(HicRawData[CH Beds HH w only Children],
HicRawData[Project Type],$I$2,
HicRawData[Inventory Type],$I27)</calculatedColumnFormula>
    </tableColumn>
    <tableColumn id="5" xr3:uid="{67B2DBB0-59F9-4159-A829-BF00362BFDD6}" name="Total Year-Round Beds" totalsRowFunction="sum" dataDxfId="196" totalsRowDxfId="195" dataCellStyle="0DecWComma&amp;0">
      <calculatedColumnFormula>SUM(Chronic_InventoryType[[#This Row],[Households without Children]:[Households with only Children]])</calculatedColumnFormula>
    </tableColumn>
  </tableColumns>
  <tableStyleInfo name="HDXTableStyle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54AC8C-87EE-4120-BC4F-ACB40726976C}" name="AllBeds_InventoryType" displayName="AllBeds_InventoryType" ref="A26:E29" totalsRowCount="1" headerRowDxfId="748" dataDxfId="747" totalsRowDxfId="746">
  <tableColumns count="5">
    <tableColumn id="1" xr3:uid="{B5C6C003-17DF-430D-9DFB-03CC88682AEC}" name="Beds by Inventory Type" totalsRowLabel="Total" dataDxfId="745" totalsRowDxfId="744"/>
    <tableColumn id="2" xr3:uid="{DFCF5BFC-A3ED-4883-8615-A584EF1AC348}" name="Households without Children" totalsRowFunction="sum" dataDxfId="743" totalsRowDxfId="742" dataCellStyle="0DecWComma&amp;0">
      <calculatedColumnFormula>SUMIFS(HicRawData[Beds HH w/o Children],
HicRawData[Project Type],$I$2,
HicRawData[Inventory Type],$I27)</calculatedColumnFormula>
    </tableColumn>
    <tableColumn id="3" xr3:uid="{9C7FE678-F52D-479B-B402-C01FA1EA3D88}" name="Households with Children" totalsRowFunction="sum" dataDxfId="741" totalsRowDxfId="740" dataCellStyle="0DecWComma&amp;0">
      <calculatedColumnFormula>SUMIFS(HicRawData[Beds HH w/ Children],
HicRawData[Project Type],$I$2,
HicRawData[Inventory Type],$I27)</calculatedColumnFormula>
    </tableColumn>
    <tableColumn id="4" xr3:uid="{0E6304C5-8E17-4CD3-BBA1-874C954056E2}" name="Households with only Children" totalsRowFunction="sum" dataDxfId="739" totalsRowDxfId="738" dataCellStyle="0DecWComma&amp;0">
      <calculatedColumnFormula>SUMIFS(HicRawData[Beds HH w/ only Children],
HicRawData[Project Type],$I$2,
HicRawData[Inventory Type],$I27)</calculatedColumnFormula>
    </tableColumn>
    <tableColumn id="5" xr3:uid="{D402E3C1-DA93-451A-AD42-BC5117735EE6}" name="Total Year-Round Beds" totalsRowFunction="sum" dataDxfId="737" totalsRowDxfId="736" dataCellStyle="0DecWComma&amp;0">
      <calculatedColumnFormula>SUM(AllBeds_InventoryType[[#This Row],[Households without Children]:[Households with only Children]])</calculatedColumnFormula>
    </tableColumn>
  </tableColumns>
  <tableStyleInfo name="HDXTableStyle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4C98EC7-DB24-46AD-A141-B3D4F93302FE}" name="Chronic_ProjectType" displayName="Chronic_ProjectType" ref="A37:E44" totalsRowCount="1" headerRowDxfId="194" dataDxfId="193">
  <tableColumns count="5">
    <tableColumn id="1" xr3:uid="{B10D2353-87E3-4661-9FEA-D01B3BF4A34E}" name="All Beds by Project Type" totalsRowLabel="Total" dataDxfId="192" totalsRowDxfId="191"/>
    <tableColumn id="2" xr3:uid="{EE7926E9-826D-4486-933A-4D1B301590AD}" name="Households without Children" totalsRowFunction="sum" dataDxfId="190" totalsRowDxfId="189" dataCellStyle="0DecWComma&amp;0">
      <calculatedColumnFormula>SUMIFS(HicRawData[CH Beds HH w/o Children],
HicRawData[Project Type],$I$2,
HicRawData[Inventory Type],"C",
HicRawData[Project Type], Chronic_ProjectType[[#This Row],[All Beds by Project Type]])</calculatedColumnFormula>
    </tableColumn>
    <tableColumn id="3" xr3:uid="{386AC603-0947-437B-A0A3-F83429833CC3}" name="Households with Children" totalsRowFunction="sum" dataDxfId="188" totalsRowDxfId="187" dataCellStyle="0DecWComma&amp;0">
      <calculatedColumnFormula>SUMIFS(HicRawData[CH Beds HH w/ Children],
HicRawData[Project Type],$I$2,
HicRawData[Inventory Type],"C",
HicRawData[Project Type], Chronic_ProjectType[[#This Row],[All Beds by Project Type]])</calculatedColumnFormula>
    </tableColumn>
    <tableColumn id="4" xr3:uid="{5A85CAAF-6DFB-4E08-942E-3197EAE6B496}" name="Households with only Children" totalsRowFunction="sum" dataDxfId="186" totalsRowDxfId="185" dataCellStyle="0DecWComma&amp;0">
      <calculatedColumnFormula>SUMIFS(HicRawData[CH Beds HH w only Children],
HicRawData[Project Type],$I$2,
HicRawData[Inventory Type],"C",
HicRawData[Project Type], Chronic_ProjectType[[#This Row],[All Beds by Project Type]])</calculatedColumnFormula>
    </tableColumn>
    <tableColumn id="5" xr3:uid="{6FC334ED-18AA-4C07-9B63-7D9E877837A4}" name="Total Year-Round Beds" totalsRowFunction="sum" dataDxfId="184" totalsRowDxfId="183" dataCellStyle="0DecWComma&amp;0">
      <calculatedColumnFormula>SUM(Chronic_ProjectType[[#This Row],[Households without Children]:[Households with only Children]])</calculatedColumnFormula>
    </tableColumn>
  </tableColumns>
  <tableStyleInfo name="HDXTableStyle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369A4356-B311-442B-869D-5E1220B82867}" name="Chronic_ProjectTypeHmisParticipation" displayName="Chronic_ProjectTypeHmisParticipation" ref="A46:E53" totalsRowCount="1" headerRowDxfId="182" dataDxfId="181">
  <tableColumns count="5">
    <tableColumn id="1" xr3:uid="{9082F361-EEF6-4B06-85C1-361CAD396ACB}" name="HMIS Beds by Project Type" totalsRowLabel="Total" dataDxfId="180" totalsRowDxfId="179"/>
    <tableColumn id="2" xr3:uid="{8880BDD7-FE87-4331-9254-B98E89D9B8C2}" name="Households without Children" totalsRowFunction="sum" dataDxfId="178" totalsRowDxfId="177" dataCellStyle="0DecWComma&amp;0" totalsRowCellStyle="0DecWComma&amp;0">
      <calculatedColumnFormula>SUMIFS(HicRawData[CH Beds HH w/o Children],
HicRawData[Project Type],$I$2,
HicRawData[Inventory Type],"C",
HicRawData[Project Type], Chronic_ProjectTypeHmisParticipation[[#This Row],[HMIS Beds by Project Type]],
HicRawData[HMIS Participating], "Yes")</calculatedColumnFormula>
    </tableColumn>
    <tableColumn id="3" xr3:uid="{C0E91EBC-A34A-4FD1-85D1-18D9F784480C}" name="Households with Children" totalsRowFunction="sum" dataDxfId="176" totalsRowDxfId="175" dataCellStyle="0DecWComma&amp;0" totalsRowCellStyle="0DecWComma&amp;0">
      <calculatedColumnFormula>SUMIFS(HicRawData[CH Beds HH w/ Children],
HicRawData[Project Type],$I$2,
HicRawData[Inventory Type],"C",
HicRawData[Project Type], Chronic_ProjectTypeHmisParticipation[[#This Row],[HMIS Beds by Project Type]],
HicRawData[HMIS Participating], "Yes")</calculatedColumnFormula>
    </tableColumn>
    <tableColumn id="4" xr3:uid="{23312241-380D-4E0E-B7E7-C02FD2BD94CF}" name="Households with only Children" totalsRowFunction="sum" dataDxfId="174" totalsRowDxfId="173" dataCellStyle="0DecWComma&amp;0" totalsRowCellStyle="0DecWComma&amp;0">
      <calculatedColumnFormula>SUMIFS(HicRawData[CH Beds HH w only Children],
HicRawData[Project Type],$I$2,
HicRawData[Inventory Type],"C",
HicRawData[Project Type], Chronic_ProjectTypeHmisParticipation[[#This Row],[HMIS Beds by Project Type]],
HicRawData[HMIS Participating], "Yes")</calculatedColumnFormula>
    </tableColumn>
    <tableColumn id="5" xr3:uid="{6BDB2C37-D182-4BFD-9033-05B7E785BBC3}" name="Total Year-Round Beds" totalsRowFunction="sum" totalsRowDxfId="172" dataCellStyle="0DecWComma&amp;0" totalsRowCellStyle="0DecWComma&amp;0">
      <calculatedColumnFormula>B47+C47+D47</calculatedColumnFormula>
    </tableColumn>
  </tableColumns>
  <tableStyleInfo name="HDXTableStyle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F34C9F2A-52F9-4ABB-BC48-569A6B5351BA}" name="Vets_HmisParticipation" displayName="Vets_HmisParticipation" ref="A6:E10" totalsRowCount="1" headerRowDxfId="171" dataDxfId="170" totalsRowDxfId="169">
  <tableColumns count="5">
    <tableColumn id="1" xr3:uid="{5593437E-34FF-4440-BA0B-E863FCD03E14}" name="Beds by HMIS Participation" totalsRowLabel="Total" dataDxfId="168" totalsRowDxfId="167"/>
    <tableColumn id="2" xr3:uid="{F007AEFE-A586-4BA7-94E7-BA40559337B1}" name="Households without Children" totalsRowFunction="sum" dataDxfId="166" totalsRowDxfId="165" dataCellStyle="0DecWComma&amp;0" totalsRowCellStyle="0DecWComma&amp;0">
      <calculatedColumnFormula>SUMIFS(HicRawData[Veteran Beds HH w/o Children],
HicRawData[Project Type],$I$2,
HicRawData[Inventory Type],"C",
HicRawData[HMIS Participating],$I7)</calculatedColumnFormula>
    </tableColumn>
    <tableColumn id="3" xr3:uid="{8643DB4D-F522-43D6-A3B6-5A843490EABA}" name="Households with Children" totalsRowFunction="sum" dataDxfId="164" totalsRowDxfId="163" dataCellStyle="0DecWComma&amp;0" totalsRowCellStyle="0DecWComma&amp;0">
      <calculatedColumnFormula>SUMIFS(HicRawData[Veteran Beds HH w/ Children],
HicRawData[Project Type],$I$2,
HicRawData[Inventory Type],"C",
HicRawData[HMIS Participating],$I7)</calculatedColumnFormula>
    </tableColumn>
    <tableColumn id="4" xr3:uid="{91DC35D9-09BD-496B-85A6-017A4BFF7E1D}" name="Households with only Children" totalsRowFunction="sum" dataDxfId="162" totalsRowDxfId="161" dataCellStyle="0DecWComma&amp;0" totalsRowCellStyle="0DecWComma&amp;0"/>
    <tableColumn id="5" xr3:uid="{D7D1A3FB-54E8-4AC9-9C2E-3782413C6127}" name="Total Year-Round Beds" totalsRowFunction="sum" dataDxfId="160" totalsRowDxfId="159" dataCellStyle="0DecWComma&amp;0" totalsRowCellStyle="0DecWComma&amp;0">
      <calculatedColumnFormula>SUM(Vets_HmisParticipation[[#This Row],[Households without Children]:[Households with only Children]])</calculatedColumnFormula>
    </tableColumn>
  </tableColumns>
  <tableStyleInfo name="HDXTableStyle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902E91C7-359C-4364-8960-2D7535227EFD}" name="Vets_NonVspHmisParticipation" displayName="Vets_NonVspHmisParticipation" ref="A13:E17" totalsRowCount="1" headerRowDxfId="158" dataDxfId="157" totalsRowDxfId="156">
  <tableColumns count="5">
    <tableColumn id="1" xr3:uid="{3AA3EF60-BBAA-4852-8533-BE3092B7A1AE}" name="Non-VSP* Beds by HMIS Participation" totalsRowLabel="Total" dataDxfId="155" totalsRowDxfId="154"/>
    <tableColumn id="2" xr3:uid="{D598DD21-E90E-40AB-8219-A8DA0E8A7C51}" name="Households without Children" totalsRowFunction="sum" dataDxfId="153" totalsRowDxfId="152" dataCellStyle="0DecWComma&amp;0" totalsRowCellStyle="0DecWComma&amp;0">
      <calculatedColumnFormula>SUMIFS(HicRawData[Veteran Beds HH w/o Children],
HicRawData[Project Type],$I$2,
HicRawData[Inventory Type],"C",
HicRawData[HMIS Participating],$I14,
HicRawData[Victim Service Provider],0)</calculatedColumnFormula>
    </tableColumn>
    <tableColumn id="3" xr3:uid="{A3D57C09-F6F2-4F9F-9F5A-0BB131CF61FF}" name="Households with Children" totalsRowFunction="sum" dataDxfId="151" totalsRowDxfId="150" dataCellStyle="0DecWComma&amp;0" totalsRowCellStyle="0DecWComma&amp;0">
      <calculatedColumnFormula>SUMIFS(HicRawData[Veteran Beds HH w/ Children],
HicRawData[Project Type],$I$2,
HicRawData[Inventory Type],"C",
HicRawData[HMIS Participating],$I14,
HicRawData[Victim Service Provider],0)</calculatedColumnFormula>
    </tableColumn>
    <tableColumn id="4" xr3:uid="{1E1AE29C-982D-4CED-BE7F-F105A3188065}" name="Households with only Children" totalsRowFunction="sum" dataDxfId="149" totalsRowDxfId="148" dataCellStyle="0DecWComma&amp;0" totalsRowCellStyle="0DecWComma&amp;0"/>
    <tableColumn id="5" xr3:uid="{B5ADFFF2-B72B-4E19-95FA-67D63A4945C0}" name="Total Year-Round Beds" totalsRowFunction="sum" dataDxfId="147" totalsRowDxfId="146" dataCellStyle="0DecWComma&amp;0" totalsRowCellStyle="0DecWComma&amp;0">
      <calculatedColumnFormula>SUM(Vets_NonVspHmisParticipation[[#This Row],[Households without Children]:[Households with only Children]])</calculatedColumnFormula>
    </tableColumn>
  </tableColumns>
  <tableStyleInfo name="HDXTableStyle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C32FF4D-726E-42D5-BF07-8A9F36AECA8C}" name="Vets_TargetPopulation" displayName="Vets_TargetPopulation" ref="A20:E24" totalsRowCount="1" headerRowDxfId="145" dataDxfId="144" totalsRowDxfId="143">
  <tableColumns count="5">
    <tableColumn id="1" xr3:uid="{32E68868-652C-4FFA-87A7-F54D65DD091D}" name="Beds by Target Population" totalsRowLabel="Total" dataDxfId="142" totalsRowDxfId="141"/>
    <tableColumn id="2" xr3:uid="{A7F229B8-AA9A-4F8B-BB3D-18FDFA375963}" name="Households without Children" totalsRowFunction="sum" dataDxfId="140" totalsRowDxfId="139" dataCellStyle="0DecWComma&amp;0">
      <calculatedColumnFormula>SUMIFS(HicRawData[Veteran Beds HH w/o Children],
HicRawData[Project Type],$I$2,
HicRawData[Inventory Type],"C",
HicRawData[Target Population],Vets_TargetPopulation[[#This Row],[Beds by Target Population]])</calculatedColumnFormula>
    </tableColumn>
    <tableColumn id="3" xr3:uid="{68875845-C732-42E7-8EE8-E202AB1DDB60}" name="Households with Children" totalsRowFunction="sum" dataDxfId="138" totalsRowDxfId="137" dataCellStyle="0DecWComma&amp;0">
      <calculatedColumnFormula>SUMIFS(HicRawData[Veteran Beds HH w/ Children],
HicRawData[Project Type],$I$2,
HicRawData[Inventory Type],"C",
HicRawData[Target Population],Vets_TargetPopulation[[#This Row],[Beds by Target Population]])</calculatedColumnFormula>
    </tableColumn>
    <tableColumn id="4" xr3:uid="{6BAD0166-F2D2-4569-A5BB-36DDB6B69B41}" name="Households with only Children" totalsRowFunction="sum" dataDxfId="136" totalsRowDxfId="135" dataCellStyle="0DecWComma&amp;0"/>
    <tableColumn id="5" xr3:uid="{5EC11748-0401-43D8-BFF6-ACDED1FC54E6}" name="Total Year-Round Beds" totalsRowFunction="sum" dataDxfId="134" totalsRowDxfId="133" dataCellStyle="0DecWComma&amp;0">
      <calculatedColumnFormula>SUM(Vets_TargetPopulation[[#This Row],[Households without Children]:[Households with only Children]])</calculatedColumnFormula>
    </tableColumn>
  </tableColumns>
  <tableStyleInfo name="HDXTableStyle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C019B2C6-903B-496F-BFC8-B385500C543F}" name="Vets_InventoryType" displayName="Vets_InventoryType" ref="A26:E29" totalsRowCount="1" headerRowDxfId="132" dataDxfId="131" totalsRowDxfId="130">
  <tableColumns count="5">
    <tableColumn id="1" xr3:uid="{DE46291D-A35C-4AC2-A4CC-24497F67D541}" name="Beds by Inventory Type" totalsRowLabel="Total" dataDxfId="129" totalsRowDxfId="128"/>
    <tableColumn id="2" xr3:uid="{03DDFC58-5BFE-4A43-B2FD-86DF237088FB}" name="Households without Children" totalsRowFunction="sum" dataDxfId="127" totalsRowDxfId="126" dataCellStyle="0DecWComma&amp;0">
      <calculatedColumnFormula>SUMIFS(HicRawData[Veteran Beds HH w/o Children],
HicRawData[Project Type],$I$2,
HicRawData[Inventory Type],$I27)</calculatedColumnFormula>
    </tableColumn>
    <tableColumn id="3" xr3:uid="{A7BAF3E2-4127-4952-90E4-2AF193C08EED}" name="Households with Children" totalsRowFunction="sum" dataDxfId="125" totalsRowDxfId="124" dataCellStyle="0DecWComma&amp;0">
      <calculatedColumnFormula>SUMIFS(HicRawData[Veteran Beds HH w/ Children],
HicRawData[Project Type],$I$2,
HicRawData[Inventory Type],$I27)</calculatedColumnFormula>
    </tableColumn>
    <tableColumn id="4" xr3:uid="{2EE4D13B-AD31-4811-B4D9-74E6E83A265D}" name="Households with only Children" totalsRowFunction="sum" dataDxfId="123" totalsRowDxfId="122" dataCellStyle="0DecWComma&amp;0"/>
    <tableColumn id="5" xr3:uid="{8E481E35-254B-4955-A53F-AB2814FB30E9}" name="Total Year-Round Beds" totalsRowFunction="sum" dataDxfId="121" totalsRowDxfId="120" dataCellStyle="0DecWComma&amp;0">
      <calculatedColumnFormula>SUM(Vets_InventoryType[[#This Row],[Households without Children]:[Households with only Children]])</calculatedColumnFormula>
    </tableColumn>
  </tableColumns>
  <tableStyleInfo name="HDXTableStyle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836244A8-8714-43FA-9832-8EF0A2445432}" name="Vets_ProjectType" displayName="Vets_ProjectType" ref="A37:E44" totalsRowCount="1" headerRowDxfId="119" dataDxfId="118">
  <tableColumns count="5">
    <tableColumn id="1" xr3:uid="{C7A4F480-BAA5-45E4-953B-A2B93D584A24}" name="All Beds by Project Type" totalsRowLabel="Total" dataDxfId="117" totalsRowDxfId="116"/>
    <tableColumn id="2" xr3:uid="{6EA16C7A-32E5-4BFA-A2E5-29FA2C400454}" name="Households without Children" totalsRowFunction="sum" dataDxfId="115" totalsRowDxfId="114" dataCellStyle="0DecWComma&amp;0">
      <calculatedColumnFormula>SUMIFS(HicRawData[Veteran Beds HH w/o Children],
HicRawData[Project Type],$I$2,
HicRawData[Inventory Type],"C",
HicRawData[Project Type], Vets_ProjectType[[#This Row],[All Beds by Project Type]])</calculatedColumnFormula>
    </tableColumn>
    <tableColumn id="3" xr3:uid="{DA80356E-0F85-4D64-98E6-71F17101AAF7}" name="Households with Children" totalsRowFunction="sum" dataDxfId="113" totalsRowDxfId="112" dataCellStyle="0DecWComma&amp;0">
      <calculatedColumnFormula>SUMIFS(HicRawData[Veteran Beds HH w/ Children],
HicRawData[Project Type],$I$2,
HicRawData[Inventory Type],"C",
HicRawData[Project Type], Vets_ProjectType[[#This Row],[All Beds by Project Type]])</calculatedColumnFormula>
    </tableColumn>
    <tableColumn id="4" xr3:uid="{F857F680-BFFF-4B51-8733-9368859D61A6}" name="Households with only Children" totalsRowFunction="sum" dataDxfId="111" totalsRowDxfId="110" dataCellStyle="0DecWComma&amp;0"/>
    <tableColumn id="5" xr3:uid="{BDEDFE14-FB7D-4D33-A79F-F33F57A58C10}" name="Total Year-Round Beds" totalsRowFunction="sum" dataDxfId="109" totalsRowDxfId="108" dataCellStyle="0DecWComma&amp;0">
      <calculatedColumnFormula>SUM(Vets_ProjectType[[#This Row],[Households without Children]:[Households with only Children]])</calculatedColumnFormula>
    </tableColumn>
  </tableColumns>
  <tableStyleInfo name="HDXTableStyle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317A33F6-7B1B-4A18-B990-F57628C2BABD}" name="Vets_ProjectTypeHmisParticipation" displayName="Vets_ProjectTypeHmisParticipation" ref="A46:E53" totalsRowCount="1" headerRowDxfId="107" dataDxfId="106">
  <tableColumns count="5">
    <tableColumn id="1" xr3:uid="{86DAA780-2F63-45A1-B2FD-5D3658221C4D}" name="HMIS Beds by Project Type" totalsRowLabel="Total" dataDxfId="105" totalsRowDxfId="104"/>
    <tableColumn id="2" xr3:uid="{AFB84E09-EEF7-4DE0-8703-BE8EA09491C1}" name="Households without Children" totalsRowFunction="sum" dataDxfId="103" totalsRowDxfId="102" dataCellStyle="0DecWComma&amp;0" totalsRowCellStyle="0DecWComma&amp;0">
      <calculatedColumnFormula>SUMIFS(HicRawData[Veteran Beds HH w/o Children],
HicRawData[Project Type],$I$2,
HicRawData[Inventory Type],"C",
HicRawData[Project Type], Vets_ProjectTypeHmisParticipation[[#This Row],[HMIS Beds by Project Type]],
HicRawData[HMIS Participating], "Yes")</calculatedColumnFormula>
    </tableColumn>
    <tableColumn id="3" xr3:uid="{A49CA9B0-94C5-427A-B7BA-14F68723CA43}" name="Households with Children" totalsRowFunction="sum" dataDxfId="101" totalsRowDxfId="100" dataCellStyle="0DecWComma&amp;0" totalsRowCellStyle="0DecWComma&amp;0">
      <calculatedColumnFormula>SUMIFS(HicRawData[Veteran Beds HH w/ Children],
HicRawData[Project Type],$I$2,
HicRawData[Inventory Type],"C",
HicRawData[Project Type], Vets_ProjectTypeHmisParticipation[[#This Row],[HMIS Beds by Project Type]],
HicRawData[HMIS Participating], "Yes")</calculatedColumnFormula>
    </tableColumn>
    <tableColumn id="4" xr3:uid="{55B07AA9-1F60-4710-9051-E2C79526A878}" name="Households with only Children" totalsRowFunction="sum" dataDxfId="99" totalsRowDxfId="98" dataCellStyle="0DecWComma&amp;0" totalsRowCellStyle="0DecWComma&amp;0"/>
    <tableColumn id="5" xr3:uid="{CA1AF190-FECB-4920-A94B-2BE08AEBC65B}" name="Total Year-Round Beds" totalsRowFunction="sum" totalsRowDxfId="97" dataCellStyle="0DecWComma&amp;0" totalsRowCellStyle="0DecWComma&amp;0">
      <calculatedColumnFormula>B47+C47+D47</calculatedColumnFormula>
    </tableColumn>
  </tableColumns>
  <tableStyleInfo name="HDXTableStyle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83604D65-0B62-4CC6-9CD6-81FB0773AE1D}" name="Youth_HmisParticipation" displayName="Youth_HmisParticipation" ref="A6:E10" totalsRowCount="1" headerRowDxfId="96" dataDxfId="95" totalsRowDxfId="94">
  <tableColumns count="5">
    <tableColumn id="1" xr3:uid="{C9A403C4-E07F-4DE5-AA7D-D66C23BE3CEC}" name="Beds by HMIS Participation" totalsRowLabel="Total" dataDxfId="93" totalsRowDxfId="92"/>
    <tableColumn id="2" xr3:uid="{B85DCF98-D18F-44BE-9614-B8407F5EAD41}" name="Households without Children" totalsRowFunction="sum" dataDxfId="91" totalsRowDxfId="90" dataCellStyle="0DecWComma&amp;0" totalsRowCellStyle="0DecWComma&amp;0">
      <calculatedColumnFormula>SUMIFS(HicRawData[Youth Beds HH w/o Children],
HicRawData[Project Type],$I$2,
HicRawData[Inventory Type],"C",
HicRawData[HMIS Participating],$I7)</calculatedColumnFormula>
    </tableColumn>
    <tableColumn id="3" xr3:uid="{7065279C-8589-4B2E-B545-66D097474BED}" name="Households with Children" totalsRowFunction="sum" dataDxfId="89" totalsRowDxfId="88" dataCellStyle="0DecWComma&amp;0" totalsRowCellStyle="0DecWComma&amp;0">
      <calculatedColumnFormula>SUMIFS(HicRawData[Youth Beds HH w/ Children],
HicRawData[Project Type],$I$2,
HicRawData[Inventory Type],"C",
HicRawData[HMIS Participating],$I7)</calculatedColumnFormula>
    </tableColumn>
    <tableColumn id="4" xr3:uid="{79AB7DFD-7815-45BB-9A8E-997CF6DB5544}" name="Households with only Children" totalsRowFunction="sum" dataDxfId="87" totalsRowDxfId="86" dataCellStyle="0DecWComma&amp;0" totalsRowCellStyle="0DecWComma&amp;0"/>
    <tableColumn id="5" xr3:uid="{D34E06E9-D042-4CC2-9CBF-CC60F5A2B6D8}" name="Total Year-Round Beds" totalsRowFunction="sum" dataDxfId="85" totalsRowDxfId="84" dataCellStyle="0DecWComma&amp;0" totalsRowCellStyle="0DecWComma&amp;0">
      <calculatedColumnFormula>SUM(Youth_HmisParticipation[[#This Row],[Households without Children]:[Households with only Children]])</calculatedColumnFormula>
    </tableColumn>
  </tableColumns>
  <tableStyleInfo name="HDXTableStyle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8139B41-ADD1-4B21-BA06-27D21B5C6806}" name="Youth_NonVspHmisParticipation" displayName="Youth_NonVspHmisParticipation" ref="A13:E17" totalsRowCount="1" headerRowDxfId="83" dataDxfId="82" totalsRowDxfId="81">
  <tableColumns count="5">
    <tableColumn id="1" xr3:uid="{FC633C3C-FB8B-4EA8-92FB-6610B35BB605}" name="Non-VSP* Beds by HMIS Participation" totalsRowLabel="Total" dataDxfId="80" totalsRowDxfId="79"/>
    <tableColumn id="2" xr3:uid="{8B154D02-89BC-42D4-8596-6F28CFBA489F}" name="Households without Children" totalsRowFunction="sum" dataDxfId="78" totalsRowDxfId="77" dataCellStyle="0DecWComma&amp;0" totalsRowCellStyle="0DecWComma&amp;0">
      <calculatedColumnFormula>SUMIFS(HicRawData[Youth Beds HH w/o Children],
HicRawData[Project Type],$I$2,
HicRawData[Inventory Type],"C",
HicRawData[HMIS Participating],$I14,
HicRawData[Victim Service Provider],0)</calculatedColumnFormula>
    </tableColumn>
    <tableColumn id="3" xr3:uid="{76A3635B-89E3-4432-B2DE-020F9A9AB3EE}" name="Households with Children" totalsRowFunction="sum" dataDxfId="76" totalsRowDxfId="75" dataCellStyle="0DecWComma&amp;0" totalsRowCellStyle="0DecWComma&amp;0">
      <calculatedColumnFormula>SUMIFS(HicRawData[Youth Beds HH w/ Children],
HicRawData[Project Type],$I$2,
HicRawData[Inventory Type],"C",
HicRawData[HMIS Participating],$I14,
HicRawData[Victim Service Provider],0)</calculatedColumnFormula>
    </tableColumn>
    <tableColumn id="4" xr3:uid="{9BD2D1C3-490E-4AB5-A78C-216A6E1F7346}" name="Households with only Children" totalsRowFunction="sum" dataDxfId="74" totalsRowDxfId="73" dataCellStyle="0DecWComma&amp;0" totalsRowCellStyle="0DecWComma&amp;0"/>
    <tableColumn id="5" xr3:uid="{05B5CB90-664D-4535-808B-116A22DEBB31}" name="Total Year-Round Beds" totalsRowFunction="sum" dataDxfId="72" totalsRowDxfId="71" dataCellStyle="0DecWComma&amp;0" totalsRowCellStyle="0DecWComma&amp;0">
      <calculatedColumnFormula>SUM(Youth_NonVspHmisParticipation[[#This Row],[Households without Children]:[Households with only Children]])</calculatedColumnFormula>
    </tableColumn>
  </tableColumns>
  <tableStyleInfo name="HDXTableStyle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223C9FA-F8ED-42C0-9191-DF50E8AA5200}" name="AllBeds_ProjectType" displayName="AllBeds_ProjectType" ref="A37:E44" totalsRowCount="1" headerRowDxfId="735" dataDxfId="734">
  <tableColumns count="5">
    <tableColumn id="1" xr3:uid="{D4F0C4F8-F031-4BD7-88C1-06DB7BEB1921}" name="All Beds by Project Type" totalsRowLabel="Total" dataDxfId="733" totalsRowDxfId="732"/>
    <tableColumn id="2" xr3:uid="{13FC7304-C27C-42E2-A4EB-2BF07FD60A6B}" name="Households without Children" totalsRowFunction="sum" dataDxfId="731" totalsRowDxfId="730" dataCellStyle="0DecWComma&amp;0">
      <calculatedColumnFormula>SUMIFS(HicRawData[Beds HH w/o Children],
HicRawData[Project Type],$I$2,
HicRawData[Inventory Type],"C",
HicRawData[Project Type], AllBeds_ProjectType[[#This Row],[All Beds by Project Type]])</calculatedColumnFormula>
    </tableColumn>
    <tableColumn id="3" xr3:uid="{32816228-5531-4C8B-B5E3-5DEEACD6684A}" name="Households with Children" totalsRowFunction="sum" dataDxfId="729" totalsRowDxfId="728" dataCellStyle="0DecWComma&amp;0">
      <calculatedColumnFormula>SUMIFS(HicRawData[Beds HH w/ Children],
HicRawData[Project Type],$I$2,
HicRawData[Inventory Type],"C",
HicRawData[Project Type], AllBeds_ProjectType[[#This Row],[All Beds by Project Type]])</calculatedColumnFormula>
    </tableColumn>
    <tableColumn id="4" xr3:uid="{589F4BCE-7A26-42EA-B155-2415D94211F8}" name="Households with only Children" totalsRowFunction="sum" dataDxfId="727" totalsRowDxfId="726" dataCellStyle="0DecWComma&amp;0">
      <calculatedColumnFormula>SUMIFS(HicRawData[Beds HH w/ only Children],
HicRawData[Project Type],$I$2,
HicRawData[Inventory Type],"C",
HicRawData[Project Type], AllBeds_ProjectType[[#This Row],[All Beds by Project Type]])</calculatedColumnFormula>
    </tableColumn>
    <tableColumn id="5" xr3:uid="{1A7CEC81-77F6-4D6A-800E-5E59EB9A4887}" name="Total Year-Round Beds" totalsRowFunction="sum" dataDxfId="725" totalsRowDxfId="724" dataCellStyle="0DecWComma&amp;0">
      <calculatedColumnFormula>SUM(AllBeds_ProjectType[[#This Row],[Households without Children]:[Households with only Children]])</calculatedColumnFormula>
    </tableColumn>
  </tableColumns>
  <tableStyleInfo name="HDXTableStyle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8C49A017-B932-4C47-B943-C8C14D55BB28}" name="Youth_TargetPopulation" displayName="Youth_TargetPopulation" ref="A20:E24" totalsRowCount="1" headerRowDxfId="70" dataDxfId="69" totalsRowDxfId="68">
  <tableColumns count="5">
    <tableColumn id="1" xr3:uid="{C2361609-DF91-4901-91FF-2F912B2309A7}" name="Beds by Target Population" totalsRowLabel="Total" dataDxfId="67" totalsRowDxfId="66"/>
    <tableColumn id="2" xr3:uid="{1F88EC78-AE3F-4C26-9439-7B4B018064E2}" name="Households without Children" totalsRowFunction="sum" dataDxfId="65" totalsRowDxfId="64" dataCellStyle="0DecWComma&amp;0">
      <calculatedColumnFormula>SUMIFS(HicRawData[Youth Beds HH w/o Children],
HicRawData[Project Type],$I$2,
HicRawData[Inventory Type],"C",
HicRawData[Target Population],Youth_TargetPopulation[[#This Row],[Beds by Target Population]])</calculatedColumnFormula>
    </tableColumn>
    <tableColumn id="3" xr3:uid="{43B87CD2-8F12-46A1-8884-86F905234719}" name="Households with Children" totalsRowFunction="sum" dataDxfId="63" totalsRowDxfId="62" dataCellStyle="0DecWComma&amp;0">
      <calculatedColumnFormula>SUMIFS(HicRawData[Youth Beds HH w/ Children],
HicRawData[Project Type],$I$2,
HicRawData[Inventory Type],"C",
HicRawData[Target Population],Youth_TargetPopulation[[#This Row],[Beds by Target Population]])</calculatedColumnFormula>
    </tableColumn>
    <tableColumn id="4" xr3:uid="{64FF80CA-30F5-4DE7-BD67-5BA8922D54B5}" name="Households with only Children" totalsRowFunction="sum" dataDxfId="61" totalsRowDxfId="60" dataCellStyle="0DecWComma&amp;0"/>
    <tableColumn id="5" xr3:uid="{CC172980-CEDA-4D4E-9824-28E4D49B2271}" name="Total Year-Round Beds" totalsRowFunction="sum" dataDxfId="59" totalsRowDxfId="58" dataCellStyle="0DecWComma&amp;0">
      <calculatedColumnFormula>SUM(Youth_TargetPopulation[[#This Row],[Households without Children]:[Households with only Children]])</calculatedColumnFormula>
    </tableColumn>
  </tableColumns>
  <tableStyleInfo name="HDXTableStyle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B88A0B12-38FB-4DBA-AE5B-0FD2557AF9D1}" name="Youth_InventoryType" displayName="Youth_InventoryType" ref="A26:E29" totalsRowCount="1" headerRowDxfId="57" dataDxfId="56" totalsRowDxfId="55">
  <tableColumns count="5">
    <tableColumn id="1" xr3:uid="{AF9E39DF-9BBF-49D2-B273-29E61F099F60}" name="Beds by Inventory Type" totalsRowLabel="Total" dataDxfId="54" totalsRowDxfId="53"/>
    <tableColumn id="2" xr3:uid="{A9BC15D7-4251-4635-BE38-1EDA6137445D}" name="Households without Children" totalsRowFunction="sum" dataDxfId="52" totalsRowDxfId="51" dataCellStyle="0DecWComma&amp;0">
      <calculatedColumnFormula>SUMIFS(HicRawData[Youth Beds HH w/o Children],
HicRawData[Project Type],$I$2,
HicRawData[Inventory Type],$I27)</calculatedColumnFormula>
    </tableColumn>
    <tableColumn id="3" xr3:uid="{A42D7682-9E34-4511-B776-0C75CD9B7986}" name="Households with Children" totalsRowFunction="sum" dataDxfId="50" totalsRowDxfId="49" dataCellStyle="0DecWComma&amp;0">
      <calculatedColumnFormula>SUMIFS(HicRawData[Youth Beds HH w/ Children],
HicRawData[Project Type],$I$2,
HicRawData[Inventory Type],$I27)</calculatedColumnFormula>
    </tableColumn>
    <tableColumn id="4" xr3:uid="{3F1ED94D-DE4C-4575-A6D1-8ADD1C6C88CC}" name="Households with only Children" totalsRowFunction="sum" dataDxfId="48" totalsRowDxfId="47" dataCellStyle="0DecWComma&amp;0"/>
    <tableColumn id="5" xr3:uid="{716CA038-925C-4D1F-BF14-2E879484CA5B}" name="Total Year-Round Beds" totalsRowFunction="sum" dataDxfId="46" totalsRowDxfId="45" dataCellStyle="0DecWComma&amp;0">
      <calculatedColumnFormula>SUM(Youth_InventoryType[[#This Row],[Households without Children]:[Households with only Children]])</calculatedColumnFormula>
    </tableColumn>
  </tableColumns>
  <tableStyleInfo name="HDXTableStyle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BF4151BD-54BF-440F-9AFD-71CBCD289EA8}" name="Youth_ProjectType" displayName="Youth_ProjectType" ref="A37:E44" totalsRowCount="1" headerRowDxfId="44" dataDxfId="43">
  <tableColumns count="5">
    <tableColumn id="1" xr3:uid="{17362912-6C77-41CC-9006-BF1D4428E521}" name="All Beds by Project Type" totalsRowLabel="Total" dataDxfId="42" totalsRowDxfId="41"/>
    <tableColumn id="2" xr3:uid="{B5ACB1BD-A0C5-41D4-A66D-AB0597BB9FD5}" name="Households without Children" totalsRowFunction="sum" dataDxfId="40" totalsRowDxfId="39" dataCellStyle="0DecWComma&amp;0">
      <calculatedColumnFormula>SUMIFS(HicRawData[Youth Beds HH w/o Children],
HicRawData[Project Type],$I$2,
HicRawData[Inventory Type],"C",
HicRawData[Project Type], Youth_ProjectType[[#This Row],[All Beds by Project Type]])</calculatedColumnFormula>
    </tableColumn>
    <tableColumn id="3" xr3:uid="{BFD967B2-90F7-4C2B-8E9D-FF35F2A0DECC}" name="Households with Children" totalsRowFunction="sum" dataDxfId="38" totalsRowDxfId="37" dataCellStyle="0DecWComma&amp;0">
      <calculatedColumnFormula>SUMIFS(HicRawData[Youth Beds HH w/ Children],
HicRawData[Project Type],$I$2,
HicRawData[Inventory Type],"C",
HicRawData[Project Type], Youth_ProjectType[[#This Row],[All Beds by Project Type]])</calculatedColumnFormula>
    </tableColumn>
    <tableColumn id="4" xr3:uid="{AA8CFECA-96B8-4F8D-99E2-A3D18A57FBFC}" name="Households with only Children" totalsRowFunction="sum" dataDxfId="36" totalsRowDxfId="35" dataCellStyle="0DecWComma&amp;0"/>
    <tableColumn id="5" xr3:uid="{1C81396A-E7D9-4D35-8723-848714804114}" name="Total Year-Round Beds" totalsRowFunction="sum" dataDxfId="34" totalsRowDxfId="33" dataCellStyle="0DecWComma&amp;0">
      <calculatedColumnFormula>SUM(Youth_ProjectType[[#This Row],[Households without Children]:[Households with only Children]])</calculatedColumnFormula>
    </tableColumn>
  </tableColumns>
  <tableStyleInfo name="HDXTableStyle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B42A0237-7764-4B9A-9B99-C4EB4B667318}" name="Youth_ProjectTypeHmisParticipation" displayName="Youth_ProjectTypeHmisParticipation" ref="A46:E53" totalsRowCount="1" headerRowDxfId="32" dataDxfId="31">
  <tableColumns count="5">
    <tableColumn id="1" xr3:uid="{3F035B92-5BF0-4127-9CF1-0E6E0C85E76A}" name="HMIS Beds by Project Type" totalsRowLabel="Total" dataDxfId="30" totalsRowDxfId="29"/>
    <tableColumn id="2" xr3:uid="{F15A5919-84DE-482F-8473-F9249FA08A47}" name="Households without Children" totalsRowFunction="sum" dataDxfId="28" totalsRowDxfId="27" dataCellStyle="0DecWComma&amp;0" totalsRowCellStyle="0DecWComma&amp;0">
      <calculatedColumnFormula>SUMIFS(HicRawData[Youth Beds HH w/o Children],
HicRawData[Project Type],$I$2,
HicRawData[Inventory Type],"C",
HicRawData[Project Type], Youth_ProjectTypeHmisParticipation[[#This Row],[HMIS Beds by Project Type]],
HicRawData[HMIS Participating], "Yes")</calculatedColumnFormula>
    </tableColumn>
    <tableColumn id="3" xr3:uid="{CBA44E1F-B843-4B06-B7E9-2E09225892A3}" name="Households with Children" totalsRowFunction="sum" dataDxfId="26" totalsRowDxfId="25" dataCellStyle="0DecWComma&amp;0" totalsRowCellStyle="0DecWComma&amp;0">
      <calculatedColumnFormula>SUMIFS(HicRawData[Youth Beds HH w/ Children],
HicRawData[Project Type],$I$2,
HicRawData[Inventory Type],"C",
HicRawData[Project Type], Youth_ProjectTypeHmisParticipation[[#This Row],[HMIS Beds by Project Type]],
HicRawData[HMIS Participating], "Yes")</calculatedColumnFormula>
    </tableColumn>
    <tableColumn id="4" xr3:uid="{DFB259D3-AF84-41C8-A7BC-4DD7428E1228}" name="Households with only Children" totalsRowFunction="sum" dataDxfId="24" totalsRowDxfId="23" dataCellStyle="0DecWComma&amp;0" totalsRowCellStyle="0DecWComma&amp;0"/>
    <tableColumn id="5" xr3:uid="{75BCFD58-F321-4945-B5CD-F2F763A744C7}" name="Total Year-Round Beds" totalsRowFunction="sum" totalsRowDxfId="22" dataCellStyle="0DecWComma&amp;0" totalsRowCellStyle="0DecWComma&amp;0">
      <calculatedColumnFormula>B47+C47+D47</calculatedColumnFormula>
    </tableColumn>
  </tableColumns>
  <tableStyleInfo name="HDXTableStyle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13130A-80BC-49D1-8351-87B01919041E}" name="AllBeds_ProjectTypeHmisParticipation" displayName="AllBeds_ProjectTypeHmisParticipation" ref="A46:E53" totalsRowCount="1" headerRowDxfId="723" dataDxfId="722">
  <tableColumns count="5">
    <tableColumn id="1" xr3:uid="{C9CFE37E-E1C2-4471-AAB8-9DC7252F4287}" name="HMIS Beds by Project Type" totalsRowLabel="Total" dataDxfId="721" totalsRowDxfId="720"/>
    <tableColumn id="2" xr3:uid="{E6C5C566-E10C-4EDE-8F9E-3595B27D530B}" name="Households without Children" totalsRowFunction="sum" dataDxfId="719" totalsRowDxfId="718" dataCellStyle="0DecWComma&amp;0" totalsRowCellStyle="0DecWComma&amp;0">
      <calculatedColumnFormula>SUMIFS(HicRawData[Beds HH w/o Children],
HicRawData[Project Type],$I$2,
HicRawData[Inventory Type],"C",
HicRawData[Project Type], AllBeds_ProjectTypeHmisParticipation[[#This Row],[HMIS Beds by Project Type]],
HicRawData[HMIS Participating], "Yes")</calculatedColumnFormula>
    </tableColumn>
    <tableColumn id="3" xr3:uid="{36C8770F-E133-4805-97D9-3389593A4C79}" name="Households with Children" totalsRowFunction="sum" dataDxfId="717" totalsRowDxfId="716" dataCellStyle="0DecWComma&amp;0" totalsRowCellStyle="0DecWComma&amp;0">
      <calculatedColumnFormula>SUMIFS(HicRawData[Beds HH w/ Children],
HicRawData[Project Type],$I$2,
HicRawData[Inventory Type],"C",
HicRawData[Project Type], AllBeds_ProjectTypeHmisParticipation[[#This Row],[HMIS Beds by Project Type]],
HicRawData[HMIS Participating], "Yes")</calculatedColumnFormula>
    </tableColumn>
    <tableColumn id="4" xr3:uid="{2FF1223F-9241-4A0E-916F-7CE28DBFD8DB}" name="Households with only Children" totalsRowFunction="sum" dataDxfId="715" totalsRowDxfId="714" dataCellStyle="0DecWComma&amp;0" totalsRowCellStyle="0DecWComma&amp;0">
      <calculatedColumnFormula>SUMIFS(HicRawData[Beds HH w/ only Children],
HicRawData[Project Type],$I$2,
HicRawData[Inventory Type],"C",
HicRawData[Project Type], AllBeds_ProjectTypeHmisParticipation[[#This Row],[HMIS Beds by Project Type]],
HicRawData[HMIS Participating], "Yes")</calculatedColumnFormula>
    </tableColumn>
    <tableColumn id="5" xr3:uid="{7C219ADF-08D2-4254-AF18-51B91867A003}" name="Total Year-Round Beds" totalsRowFunction="sum" totalsRowDxfId="713" dataCellStyle="0DecWComma&amp;0" totalsRowCellStyle="0DecWComma&amp;0">
      <calculatedColumnFormula>B47+C47+D47</calculatedColumnFormula>
    </tableColumn>
  </tableColumns>
  <tableStyleInfo name="HDXTableStyle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558E648-0787-4F38-B22E-CABC44454CA7}" name="AllBeds_SeasonalOverflow" displayName="AllBeds_SeasonalOverflow" ref="A31:C35" totalsRowCount="1" headerRowDxfId="712" dataDxfId="711">
  <tableColumns count="3">
    <tableColumn id="1" xr3:uid="{B19C5B88-63B2-4256-A468-112642D9B2BA}" name="Seasonal/Overflow Beds" totalsRowLabel="Total" dataDxfId="710" totalsRowDxfId="709"/>
    <tableColumn id="2" xr3:uid="{D5C37115-2617-4B99-A230-A6242DC214FF}" name="Total Seasonal Beds (Regardless of Availability)" totalsRowFunction="sum" dataDxfId="708" totalsRowDxfId="707" dataCellStyle="0DecWComma&amp;0" totalsRowCellStyle="0DecWComma&amp;0">
      <calculatedColumnFormula>SUMIFS(HicRawData[Total Seasonal Beds],
HicRawData[Project Type],$I$2,
HicRawData[Inventory Type],"C",
HicRawData[HMIS Participating],$I32)</calculatedColumnFormula>
    </tableColumn>
    <tableColumn id="3" xr3:uid="{2C0C47CB-04D4-4AC2-92AF-E6F79607E800}" name="Total Overflow Beds" totalsRowFunction="sum" dataDxfId="706" totalsRowDxfId="705" dataCellStyle="0DecWComma&amp;0" totalsRowCellStyle="0DecWComma&amp;0">
      <calculatedColumnFormula>SUMIFS(HicRawData[O/V Beds],
HicRawData[Project Type],$I$2,
HicRawData[Inventory Type],"C",
HicRawData[HMIS Participating],$I32)</calculatedColumnFormula>
    </tableColumn>
  </tableColumns>
  <tableStyleInfo name="HDXTableStyle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1504316-3555-442F-94E2-405E0A6D386F}" name="ES_HmisParticipation" displayName="ES_HmisParticipation" ref="A6:E10" totalsRowCount="1" headerRowDxfId="704" dataDxfId="703" totalsRowDxfId="702">
  <tableColumns count="5">
    <tableColumn id="1" xr3:uid="{8165972C-A816-46D0-87CE-1E26299F60B6}" name="Beds by HMIS Participation" totalsRowLabel="Total" dataDxfId="701" totalsRowDxfId="700"/>
    <tableColumn id="2" xr3:uid="{2079B7B5-991A-4855-B579-1DC30DD71F92}" name="Households without Children" totalsRowFunction="sum" dataDxfId="699" totalsRowDxfId="698" dataCellStyle="0DecWComma&amp;0" totalsRowCellStyle="0DecWComma&amp;0">
      <calculatedColumnFormula>SUMIFS(HicRawData[Beds HH w/o Children],
HicRawData[Project Type],$I$2,
HicRawData[Inventory Type],"C",
HicRawData[HMIS Participating],$I7)</calculatedColumnFormula>
    </tableColumn>
    <tableColumn id="3" xr3:uid="{45DD00A9-5E34-4EF0-AF42-7652C9C140BB}" name="Households with Children" totalsRowFunction="sum" dataDxfId="697" totalsRowDxfId="696" dataCellStyle="0DecWComma&amp;0" totalsRowCellStyle="0DecWComma&amp;0">
      <calculatedColumnFormula>SUMIFS(HicRawData[Beds HH w/ Children],
HicRawData[Project Type],$I$2,
HicRawData[Inventory Type],"C",
HicRawData[HMIS Participating],$I7)</calculatedColumnFormula>
    </tableColumn>
    <tableColumn id="4" xr3:uid="{59E36E29-D5A8-400E-AB1A-F794ED5AD147}" name="Households with only Children" totalsRowFunction="sum" dataDxfId="695" totalsRowDxfId="694" dataCellStyle="0DecWComma&amp;0" totalsRowCellStyle="0DecWComma&amp;0">
      <calculatedColumnFormula>SUMIFS(HicRawData[Beds HH w/ only Children],
HicRawData[Project Type],$I$2,
HicRawData[Inventory Type],"C",
HicRawData[HMIS Participating],$I7)</calculatedColumnFormula>
    </tableColumn>
    <tableColumn id="5" xr3:uid="{894A1577-84FE-492A-9D1D-0082A192ED17}" name="Total Year-Round Beds" totalsRowFunction="sum" dataDxfId="693" totalsRowDxfId="692" dataCellStyle="0DecWComma&amp;0" totalsRowCellStyle="0DecWComma&amp;0">
      <calculatedColumnFormula>SUM(ES_HmisParticipation[[#This Row],[Households without Children]:[Households with only Children]])</calculatedColumnFormula>
    </tableColumn>
  </tableColumns>
  <tableStyleInfo name="HDXTableStyle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51.xml"/><Relationship Id="rId3" Type="http://schemas.openxmlformats.org/officeDocument/2006/relationships/table" Target="../tables/table46.xml"/><Relationship Id="rId7" Type="http://schemas.openxmlformats.org/officeDocument/2006/relationships/table" Target="../tables/table50.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57.xml"/><Relationship Id="rId3" Type="http://schemas.openxmlformats.org/officeDocument/2006/relationships/table" Target="../tables/table52.xml"/><Relationship Id="rId7" Type="http://schemas.openxmlformats.org/officeDocument/2006/relationships/table" Target="../tables/table56.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table" Target="../tables/table55.xml"/><Relationship Id="rId5" Type="http://schemas.openxmlformats.org/officeDocument/2006/relationships/table" Target="../tables/table54.xml"/><Relationship Id="rId4" Type="http://schemas.openxmlformats.org/officeDocument/2006/relationships/table" Target="../tables/table5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63.xml"/><Relationship Id="rId3" Type="http://schemas.openxmlformats.org/officeDocument/2006/relationships/table" Target="../tables/table58.xml"/><Relationship Id="rId7" Type="http://schemas.openxmlformats.org/officeDocument/2006/relationships/table" Target="../tables/table62.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table" Target="../tables/table61.xml"/><Relationship Id="rId5" Type="http://schemas.openxmlformats.org/officeDocument/2006/relationships/table" Target="../tables/table60.xml"/><Relationship Id="rId4" Type="http://schemas.openxmlformats.org/officeDocument/2006/relationships/table" Target="../tables/table5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9.xml"/><Relationship Id="rId3" Type="http://schemas.openxmlformats.org/officeDocument/2006/relationships/table" Target="../tables/table34.xml"/><Relationship Id="rId7" Type="http://schemas.openxmlformats.org/officeDocument/2006/relationships/table" Target="../tables/table3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table" Target="../tables/table43.xml"/><Relationship Id="rId5" Type="http://schemas.openxmlformats.org/officeDocument/2006/relationships/table" Target="../tables/table42.xml"/><Relationship Id="rId4"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90D5-8D8E-4B9A-BFDE-20277C5A72DC}">
  <dimension ref="A1:F31"/>
  <sheetViews>
    <sheetView zoomScaleNormal="100" zoomScaleSheetLayoutView="100" workbookViewId="0"/>
  </sheetViews>
  <sheetFormatPr defaultColWidth="0" defaultRowHeight="15" customHeight="1" zeroHeight="1" x14ac:dyDescent="0.3"/>
  <cols>
    <col min="1" max="1" width="62.6640625" customWidth="1"/>
    <col min="2" max="5" width="12.6640625" customWidth="1"/>
    <col min="6" max="6" width="9.109375" customWidth="1"/>
    <col min="7" max="13" width="9.109375" hidden="1" customWidth="1"/>
    <col min="14" max="16384" width="9.109375" hidden="1"/>
  </cols>
  <sheetData>
    <row r="1" spans="1:6" ht="21" customHeight="1" x14ac:dyDescent="0.3">
      <c r="A1" s="43" t="s">
        <v>112</v>
      </c>
    </row>
    <row r="2" spans="1:6" ht="18" customHeight="1" x14ac:dyDescent="0.3">
      <c r="A2" s="50" t="str">
        <f ca="1">HeadingLine2</f>
        <v/>
      </c>
      <c r="B2" s="2"/>
      <c r="C2" s="2"/>
      <c r="D2" s="2"/>
      <c r="E2" s="2"/>
      <c r="F2" s="2"/>
    </row>
    <row r="3" spans="1:6" ht="18" customHeight="1" x14ac:dyDescent="0.3">
      <c r="A3" s="50" t="str">
        <f ca="1">HeadingLine3</f>
        <v>PASTE DATA INTO THE 'HicRawData' TAB TO POPULATE THIS TEMPLATE.</v>
      </c>
      <c r="B3" s="2"/>
      <c r="C3" s="2"/>
      <c r="D3" s="2"/>
      <c r="E3" s="2"/>
      <c r="F3" s="2"/>
    </row>
    <row r="4" spans="1:6" ht="18" customHeight="1" x14ac:dyDescent="0.3">
      <c r="A4" s="43"/>
      <c r="B4" s="44"/>
      <c r="C4" s="45"/>
      <c r="D4" s="46"/>
      <c r="E4" s="46"/>
    </row>
    <row r="5" spans="1:6" ht="19.8" x14ac:dyDescent="0.4">
      <c r="A5" s="47" t="s">
        <v>138</v>
      </c>
    </row>
    <row r="6" spans="1:6" ht="14.4" x14ac:dyDescent="0.3"/>
    <row r="7" spans="1:6" ht="14.4" x14ac:dyDescent="0.3"/>
    <row r="8" spans="1:6" ht="14.4" x14ac:dyDescent="0.3"/>
    <row r="9" spans="1:6" ht="14.4" x14ac:dyDescent="0.3"/>
    <row r="10" spans="1:6" ht="14.4" x14ac:dyDescent="0.3"/>
    <row r="11" spans="1:6" ht="19.8" x14ac:dyDescent="0.4">
      <c r="A11" s="47" t="s">
        <v>139</v>
      </c>
    </row>
    <row r="12" spans="1:6" ht="14.4" x14ac:dyDescent="0.3"/>
    <row r="13" spans="1:6" ht="14.4" x14ac:dyDescent="0.3"/>
    <row r="14" spans="1:6" ht="14.4" x14ac:dyDescent="0.3"/>
    <row r="15" spans="1:6" ht="14.4" x14ac:dyDescent="0.3"/>
    <row r="16" spans="1:6" ht="14.4" x14ac:dyDescent="0.3"/>
    <row r="17" spans="1:1" ht="14.4" x14ac:dyDescent="0.3"/>
    <row r="18" spans="1:1" ht="14.4" x14ac:dyDescent="0.3"/>
    <row r="19" spans="1:1" ht="14.4" x14ac:dyDescent="0.3"/>
    <row r="20" spans="1:1" ht="19.8" x14ac:dyDescent="0.4">
      <c r="A20" s="47" t="s">
        <v>140</v>
      </c>
    </row>
    <row r="21" spans="1:1" ht="14.4" x14ac:dyDescent="0.3"/>
    <row r="22" spans="1:1" ht="14.4" x14ac:dyDescent="0.3"/>
    <row r="23" spans="1:1" ht="14.4" x14ac:dyDescent="0.3"/>
    <row r="24" spans="1:1" ht="14.4" x14ac:dyDescent="0.3"/>
    <row r="25" spans="1:1" ht="14.4" x14ac:dyDescent="0.3"/>
    <row r="26" spans="1:1" ht="14.4" x14ac:dyDescent="0.3"/>
    <row r="27" spans="1:1" ht="14.4" x14ac:dyDescent="0.3"/>
    <row r="28" spans="1:1" ht="14.4" x14ac:dyDescent="0.3"/>
    <row r="29" spans="1:1" ht="14.4" x14ac:dyDescent="0.3"/>
    <row r="30" spans="1:1" ht="14.4" x14ac:dyDescent="0.3"/>
    <row r="31" spans="1:1" ht="14.4" x14ac:dyDescent="0.3"/>
  </sheetData>
  <sheetProtection algorithmName="SHA-512" hashValue="UgsFcn7LnVQGzAMjJXkFKqb+DFKjl3J/Hs8ciTSJuLvT/LhlZt+vP3QDQGWDKZ497qKIu6k79rbsWrFz4jGfog==" saltValue="VzQhx1EPH2gZaPsELiJUaQ==" spinCount="100000" sheet="1" objects="1" scenarios="1"/>
  <conditionalFormatting sqref="A3:K3">
    <cfRule type="expression" dxfId="21" priority="1">
      <formula>$A$3="PASTE DATA INTO THE 'HICRawData' TAB TO POPULATE THIS TEMPLATE."</formula>
    </cfRule>
  </conditionalFormatting>
  <pageMargins left="0.7" right="0.7" top="0.75" bottom="0.75" header="0.3" footer="0.3"/>
  <pageSetup scale="99" orientation="landscape" r:id="rId1"/>
  <rowBreaks count="1" manualBreakCount="1">
    <brk id="6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5085-78E9-44F8-975F-F6FED3AC49CC}">
  <sheetPr codeName="Sheet17"/>
  <dimension ref="A1:L97"/>
  <sheetViews>
    <sheetView tabSelected="1" zoomScaleNormal="100" workbookViewId="0"/>
  </sheetViews>
  <sheetFormatPr defaultColWidth="0" defaultRowHeight="14.4" zeroHeight="1" x14ac:dyDescent="0.3"/>
  <cols>
    <col min="1" max="1" width="31.6640625" style="2" customWidth="1"/>
    <col min="2" max="7" width="16.6640625" style="2" customWidth="1"/>
    <col min="8" max="10" width="9.109375" style="33" hidden="1" customWidth="1"/>
    <col min="11" max="11" width="0" style="33" hidden="1" customWidth="1"/>
    <col min="12"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
        <v>133</v>
      </c>
      <c r="B2" s="30"/>
      <c r="C2" s="30"/>
      <c r="D2" s="30"/>
      <c r="E2" s="30"/>
      <c r="F2" s="30"/>
      <c r="G2" s="30"/>
      <c r="I2" s="33" t="s">
        <v>111</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F5"/>
      <c r="G5"/>
      <c r="H5" s="34"/>
    </row>
    <row r="6" spans="1:9" ht="72" customHeight="1" x14ac:dyDescent="0.3">
      <c r="A6" s="18" t="s">
        <v>102</v>
      </c>
      <c r="B6" s="18" t="s">
        <v>96</v>
      </c>
      <c r="C6" s="18" t="s">
        <v>97</v>
      </c>
      <c r="D6" s="18" t="s">
        <v>98</v>
      </c>
      <c r="E6" s="18" t="s">
        <v>99</v>
      </c>
      <c r="F6"/>
      <c r="G6"/>
      <c r="I6" s="33" t="s">
        <v>84</v>
      </c>
    </row>
    <row r="7" spans="1:9" ht="17.100000000000001" customHeight="1" x14ac:dyDescent="0.3">
      <c r="A7" s="10" t="s">
        <v>107</v>
      </c>
      <c r="B7" s="20">
        <f>SUMIFS(HicRawData[CH Beds HH w/o Children],
HicRawData[Project Type],$I$2,
HicRawData[Inventory Type],"C",
HicRawData[HMIS Participating],$I7)</f>
        <v>128</v>
      </c>
      <c r="C7" s="20">
        <f>SUMIFS(HicRawData[CH Beds HH w/ Children],
HicRawData[Project Type],$I$2,
HicRawData[Inventory Type],"C",
HicRawData[HMIS Participating],$I7)</f>
        <v>23</v>
      </c>
      <c r="D7" s="20">
        <f>SUMIFS(HicRawData[CH Beds HH w only Children],
HicRawData[Project Type],$I$2,
HicRawData[Inventory Type],"C",
HicRawData[HMIS Participating],$I7)</f>
        <v>0</v>
      </c>
      <c r="E7" s="20">
        <f>SUM(Chronic_HmisParticipation[[#This Row],[Households without Children]:[Households with only Children]])</f>
        <v>151</v>
      </c>
      <c r="F7"/>
      <c r="G7"/>
      <c r="I7" s="33" t="s">
        <v>9</v>
      </c>
    </row>
    <row r="8" spans="1:9" ht="17.100000000000001" customHeight="1" x14ac:dyDescent="0.3">
      <c r="A8" s="10" t="s">
        <v>108</v>
      </c>
      <c r="B8" s="20">
        <f>SUMIFS(HicRawData[CH Beds HH w/o Children],
HicRawData[Project Type],$I$2,
HicRawData[Inventory Type],"C",
HicRawData[HMIS Participating],$I8)</f>
        <v>221</v>
      </c>
      <c r="C8" s="20">
        <f>SUMIFS(HicRawData[CH Beds HH w/ Children],
HicRawData[Project Type],$I$2,
HicRawData[Inventory Type],"C",
HicRawData[HMIS Participating],$I8)</f>
        <v>0</v>
      </c>
      <c r="D8" s="20">
        <f>SUMIFS(HicRawData[CH Beds HH w only Children],
HicRawData[Project Type],$I$2,
HicRawData[Inventory Type],"C",
HicRawData[HMIS Participating],$I8)</f>
        <v>0</v>
      </c>
      <c r="E8" s="20">
        <f>SUM(Chronic_HmisParticipation[[#This Row],[Households without Children]:[Households with only Children]])</f>
        <v>221</v>
      </c>
      <c r="F8"/>
      <c r="G8"/>
      <c r="I8" s="33" t="s">
        <v>12</v>
      </c>
    </row>
    <row r="9" spans="1:9" ht="17.100000000000001" customHeight="1" x14ac:dyDescent="0.3">
      <c r="A9" s="10" t="s">
        <v>130</v>
      </c>
      <c r="B9" s="20">
        <f>SUMIFS(HicRawData[CH Beds HH w/o Children],
HicRawData[Project Type],$I$2,
HicRawData[Inventory Type],"C",
HicRawData[HMIS Participating],$I9)</f>
        <v>0</v>
      </c>
      <c r="C9" s="20">
        <f>SUMIFS(HicRawData[CH Beds HH w/ Children],
HicRawData[Project Type],$I$2,
HicRawData[Inventory Type],"C",
HicRawData[HMIS Participating],$I9)</f>
        <v>0</v>
      </c>
      <c r="D9" s="20">
        <f>SUMIFS(HicRawData[CH Beds HH w only Children],
HicRawData[Project Type],$I$2,
HicRawData[Inventory Type],"C",
HicRawData[HMIS Participating],$I9)</f>
        <v>0</v>
      </c>
      <c r="E9" s="20">
        <f>SUM(Chronic_HmisParticipation[[#This Row],[Households without Children]:[Households with only Children]])</f>
        <v>0</v>
      </c>
      <c r="F9"/>
      <c r="G9"/>
      <c r="I9" s="33" t="s">
        <v>115</v>
      </c>
    </row>
    <row r="10" spans="1:9" ht="17.100000000000001" customHeight="1" x14ac:dyDescent="0.3">
      <c r="A10" s="2" t="s">
        <v>100</v>
      </c>
      <c r="B10" s="20">
        <f>SUBTOTAL(109,Chronic_HmisParticipation[Households without Children])</f>
        <v>349</v>
      </c>
      <c r="C10" s="20">
        <f>SUBTOTAL(109,Chronic_HmisParticipation[Households with Children])</f>
        <v>23</v>
      </c>
      <c r="D10" s="20">
        <f>SUBTOTAL(109,Chronic_HmisParticipation[Households with only Children])</f>
        <v>0</v>
      </c>
      <c r="E10" s="20">
        <f>SUBTOTAL(109,Chronic_HmisParticipation[Total Year-Round Beds])</f>
        <v>372</v>
      </c>
      <c r="F10"/>
      <c r="G10"/>
    </row>
    <row r="11" spans="1:9" ht="15" customHeight="1" x14ac:dyDescent="0.3">
      <c r="A11" s="4" t="s">
        <v>101</v>
      </c>
      <c r="B11" s="21">
        <f>IF(B7=0,"N/A",B7/Chronic_HmisParticipation[[#Totals],[Households without Children]])</f>
        <v>0.36676217765042979</v>
      </c>
      <c r="C11" s="21">
        <f>IF(C7=0,"N/A",C7/Chronic_HmisParticipation[[#Totals],[Households with Children]])</f>
        <v>1</v>
      </c>
      <c r="D11" s="21" t="str">
        <f>IF(D7=0,"N/A",D7/Chronic_HmisParticipation[[#Totals],[Households with only Children]])</f>
        <v>N/A</v>
      </c>
      <c r="E11" s="21">
        <f>IF(E7=0,"N/A",E7/Chronic_HmisParticipation[[#Totals],[Total Year-Round Beds]])</f>
        <v>0.40591397849462363</v>
      </c>
      <c r="F11"/>
      <c r="G11"/>
    </row>
    <row r="12" spans="1:9" ht="15" customHeight="1" x14ac:dyDescent="0.3">
      <c r="A12" s="4"/>
      <c r="B12" s="5"/>
      <c r="C12" s="5"/>
      <c r="D12" s="5"/>
      <c r="E12" s="5"/>
      <c r="F12"/>
      <c r="G12"/>
    </row>
    <row r="13" spans="1:9" ht="72" customHeight="1" x14ac:dyDescent="0.3">
      <c r="A13" s="17" t="s">
        <v>127</v>
      </c>
      <c r="B13" s="17" t="s">
        <v>96</v>
      </c>
      <c r="C13" s="17" t="s">
        <v>97</v>
      </c>
      <c r="D13" s="17" t="s">
        <v>98</v>
      </c>
      <c r="E13" s="17" t="s">
        <v>99</v>
      </c>
      <c r="F13"/>
      <c r="G13"/>
      <c r="I13" s="33" t="s">
        <v>84</v>
      </c>
    </row>
    <row r="14" spans="1:9" ht="17.100000000000001" customHeight="1" x14ac:dyDescent="0.3">
      <c r="A14" s="10" t="s">
        <v>113</v>
      </c>
      <c r="B14" s="20">
        <f>SUMIFS(HicRawData[CH Beds HH w/o Children],
HicRawData[Project Type],$I$2,
HicRawData[Inventory Type],"C",
HicRawData[HMIS Participating],$I14,
HicRawData[Victim Service Provider],0)</f>
        <v>128</v>
      </c>
      <c r="C14" s="20">
        <f>SUMIFS(HicRawData[CH Beds HH w/ Children],
HicRawData[Project Type],$I$2,
HicRawData[Inventory Type],"C",
HicRawData[HMIS Participating],$I14,
HicRawData[Victim Service Provider],0)</f>
        <v>23</v>
      </c>
      <c r="D14" s="20">
        <f>SUMIFS(HicRawData[CH Beds HH w only Children],
HicRawData[Project Type],$I$2,
HicRawData[Inventory Type],"C",
HicRawData[HMIS Participating],$I14,
HicRawData[Victim Service Provider],0)</f>
        <v>0</v>
      </c>
      <c r="E14" s="20">
        <f>SUM(Chronic_NonVspHmisParticipation[[#This Row],[Households without Children]:[Households with only Children]])</f>
        <v>151</v>
      </c>
      <c r="F14"/>
      <c r="G14"/>
      <c r="I14" s="33" t="s">
        <v>9</v>
      </c>
    </row>
    <row r="15" spans="1:9" ht="17.100000000000001" customHeight="1" x14ac:dyDescent="0.3">
      <c r="A15" s="10" t="s">
        <v>114</v>
      </c>
      <c r="B15" s="20">
        <f>SUMIFS(HicRawData[CH Beds HH w/o Children],
HicRawData[Project Type],$I$2,
HicRawData[Inventory Type],"C",
HicRawData[HMIS Participating],$I15,
HicRawData[Victim Service Provider],0)</f>
        <v>221</v>
      </c>
      <c r="C15" s="20">
        <f>SUMIFS(HicRawData[CH Beds HH w/ Children],
HicRawData[Project Type],$I$2,
HicRawData[Inventory Type],"C",
HicRawData[HMIS Participating],$I15,
HicRawData[Victim Service Provider],0)</f>
        <v>0</v>
      </c>
      <c r="D15" s="20">
        <f>SUMIFS(HicRawData[CH Beds HH w only Children],
HicRawData[Project Type],$I$2,
HicRawData[Inventory Type],"C",
HicRawData[HMIS Participating],$I15,
HicRawData[Victim Service Provider],0)</f>
        <v>0</v>
      </c>
      <c r="E15" s="20">
        <f>SUM(Chronic_NonVspHmisParticipation[[#This Row],[Households without Children]:[Households with only Children]])</f>
        <v>221</v>
      </c>
      <c r="F15"/>
      <c r="G15"/>
      <c r="I15" s="33" t="s">
        <v>12</v>
      </c>
    </row>
    <row r="16" spans="1:9" ht="17.100000000000001" customHeight="1" x14ac:dyDescent="0.3">
      <c r="A16" s="10" t="s">
        <v>129</v>
      </c>
      <c r="B16" s="20">
        <f>SUMIFS(HicRawData[CH Beds HH w/o Children],
HicRawData[Project Type],$I$2,
HicRawData[Inventory Type],"C",
HicRawData[HMIS Participating],$I16,
HicRawData[Victim Service Provider],0)</f>
        <v>0</v>
      </c>
      <c r="C16" s="20">
        <f>SUMIFS(HicRawData[CH Beds HH w/ Children],
HicRawData[Project Type],$I$2,
HicRawData[Inventory Type],"C",
HicRawData[HMIS Participating],$I16,
HicRawData[Victim Service Provider],0)</f>
        <v>0</v>
      </c>
      <c r="D16" s="20">
        <f>SUMIFS(HicRawData[CH Beds HH w only Children],
HicRawData[Project Type],$I$2,
HicRawData[Inventory Type],"C",
HicRawData[HMIS Participating],$I16,
HicRawData[Victim Service Provider],0)</f>
        <v>0</v>
      </c>
      <c r="E16" s="20">
        <f>SUM(Chronic_NonVspHmisParticipation[[#This Row],[Households without Children]:[Households with only Children]])</f>
        <v>0</v>
      </c>
      <c r="F16"/>
      <c r="G16"/>
      <c r="I16" s="33" t="s">
        <v>115</v>
      </c>
    </row>
    <row r="17" spans="1:9" ht="17.100000000000001" customHeight="1" x14ac:dyDescent="0.3">
      <c r="A17" s="10" t="s">
        <v>100</v>
      </c>
      <c r="B17" s="22">
        <f>SUBTOTAL(109,Chronic_NonVspHmisParticipation[Households without Children])</f>
        <v>349</v>
      </c>
      <c r="C17" s="22">
        <f>SUBTOTAL(109,Chronic_NonVspHmisParticipation[Households with Children])</f>
        <v>23</v>
      </c>
      <c r="D17" s="22">
        <f>SUBTOTAL(109,Chronic_NonVspHmisParticipation[Households with only Children])</f>
        <v>0</v>
      </c>
      <c r="E17" s="22">
        <f>SUBTOTAL(109,Chronic_NonVspHmisParticipation[Total Year-Round Beds])</f>
        <v>372</v>
      </c>
      <c r="F17"/>
      <c r="G17"/>
    </row>
    <row r="18" spans="1:9" ht="15" customHeight="1" x14ac:dyDescent="0.3">
      <c r="A18" s="4" t="s">
        <v>128</v>
      </c>
      <c r="B18" s="21">
        <f>IF(B14=0,"N/A",B14/Chronic_NonVspHmisParticipation[[#Totals],[Households without Children]])</f>
        <v>0.36676217765042979</v>
      </c>
      <c r="C18" s="21">
        <f>IF(C14=0,"N/A",C14/Chronic_NonVspHmisParticipation[[#Totals],[Households with Children]])</f>
        <v>1</v>
      </c>
      <c r="D18" s="21" t="str">
        <f>IF(D14=0,"N/A",D14/Chronic_NonVspHmisParticipation[[#Totals],[Households with only Children]])</f>
        <v>N/A</v>
      </c>
      <c r="E18" s="21">
        <f>IF(E14=0,"N/A",E14/Chronic_NonVspHmisParticipation[[#Totals],[Total Year-Round Beds]])</f>
        <v>0.40591397849462363</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34"/>
    </row>
    <row r="21" spans="1:9" ht="17.100000000000001" customHeight="1" x14ac:dyDescent="0.3">
      <c r="A21" s="2" t="s">
        <v>8</v>
      </c>
      <c r="B21" s="24">
        <f>SUMIFS(HicRawData[CH Beds HH w/o Children],
HicRawData[Project Type],$I$2,
HicRawData[Inventory Type],"C",
HicRawData[Target Population],Chronic_TargetPopulation[[#This Row],[Beds by Target Population]])</f>
        <v>0</v>
      </c>
      <c r="C21" s="24">
        <f>SUMIFS(HicRawData[CH Beds HH w/ Children],
HicRawData[Project Type],$I$2,
HicRawData[Inventory Type],"C",
HicRawData[Target Population],Chronic_TargetPopulation[[#This Row],[Beds by Target Population]])</f>
        <v>0</v>
      </c>
      <c r="D21" s="24">
        <f>SUMIFS(HicRawData[CH Beds HH w only Children],
HicRawData[Project Type],$I$2,
HicRawData[Inventory Type],"C",
HicRawData[Target Population],Chronic_TargetPopulation[[#This Row],[Beds by Target Population]])</f>
        <v>0</v>
      </c>
      <c r="E21" s="24">
        <f>SUM(Chronic_TargetPopulation[[#This Row],[Households without Children]:[Households with only Children]])</f>
        <v>0</v>
      </c>
    </row>
    <row r="22" spans="1:9" ht="17.100000000000001" customHeight="1" x14ac:dyDescent="0.3">
      <c r="A22" s="2" t="s">
        <v>10</v>
      </c>
      <c r="B22" s="24">
        <f>SUMIFS(HicRawData[CH Beds HH w/o Children],
HicRawData[Project Type],$I$2,
HicRawData[Inventory Type],"C",
HicRawData[Target Population],Chronic_TargetPopulation[[#This Row],[Beds by Target Population]])</f>
        <v>0</v>
      </c>
      <c r="C22" s="24">
        <f>SUMIFS(HicRawData[CH Beds HH w/ Children],
HicRawData[Project Type],$I$2,
HicRawData[Inventory Type],"C",
HicRawData[Target Population],Chronic_TargetPopulation[[#This Row],[Beds by Target Population]])</f>
        <v>0</v>
      </c>
      <c r="D22" s="24">
        <f>SUMIFS(HicRawData[CH Beds HH w only Children],
HicRawData[Project Type],$I$2,
HicRawData[Inventory Type],"C",
HicRawData[Target Population],Chronic_TargetPopulation[[#This Row],[Beds by Target Population]])</f>
        <v>0</v>
      </c>
      <c r="E22" s="24">
        <f>SUM(Chronic_TargetPopulation[[#This Row],[Households without Children]:[Households with only Children]])</f>
        <v>0</v>
      </c>
    </row>
    <row r="23" spans="1:9" ht="17.100000000000001" customHeight="1" x14ac:dyDescent="0.3">
      <c r="A23" s="2" t="s">
        <v>0</v>
      </c>
      <c r="B23" s="24">
        <f>SUMIFS(HicRawData[CH Beds HH w/o Children],
HicRawData[Project Type],$I$2,
HicRawData[Inventory Type],"C",
HicRawData[Target Population],Chronic_TargetPopulation[[#This Row],[Beds by Target Population]])</f>
        <v>349</v>
      </c>
      <c r="C23" s="24">
        <f>SUMIFS(HicRawData[CH Beds HH w/ Children],
HicRawData[Project Type],$I$2,
HicRawData[Inventory Type],"C",
HicRawData[Target Population],Chronic_TargetPopulation[[#This Row],[Beds by Target Population]])</f>
        <v>23</v>
      </c>
      <c r="D23" s="24">
        <f>SUMIFS(HicRawData[CH Beds HH w only Children],
HicRawData[Project Type],$I$2,
HicRawData[Inventory Type],"C",
HicRawData[Target Population],Chronic_TargetPopulation[[#This Row],[Beds by Target Population]])</f>
        <v>0</v>
      </c>
      <c r="E23" s="24">
        <f>SUM(Chronic_TargetPopulation[[#This Row],[Households without Children]:[Households with only Children]])</f>
        <v>372</v>
      </c>
    </row>
    <row r="24" spans="1:9" ht="15" customHeight="1" x14ac:dyDescent="0.3">
      <c r="A24" s="2" t="s">
        <v>100</v>
      </c>
      <c r="B24" s="25">
        <f>SUBTOTAL(109,Chronic_TargetPopulation[Households without Children])</f>
        <v>349</v>
      </c>
      <c r="C24" s="25">
        <f>SUBTOTAL(109,Chronic_TargetPopulation[Households with Children])</f>
        <v>23</v>
      </c>
      <c r="D24" s="25">
        <f>SUBTOTAL(109,Chronic_TargetPopulation[Households with only Children])</f>
        <v>0</v>
      </c>
      <c r="E24" s="25">
        <f>SUBTOTAL(109,Chronic_TargetPopulation[Total Year-Round Beds])</f>
        <v>372</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SUMIFS(HicRawData[CH Beds HH w/o Children],
HicRawData[Project Type],$I$2,
HicRawData[Inventory Type],$I27)</f>
        <v>349</v>
      </c>
      <c r="C27" s="24">
        <f>SUMIFS(HicRawData[CH Beds HH w/ Children],
HicRawData[Project Type],$I$2,
HicRawData[Inventory Type],$I27)</f>
        <v>23</v>
      </c>
      <c r="D27" s="24">
        <f>SUMIFS(HicRawData[CH Beds HH w only Children],
HicRawData[Project Type],$I$2,
HicRawData[Inventory Type],$I27)</f>
        <v>0</v>
      </c>
      <c r="E27" s="24">
        <f>SUM(Chronic_InventoryType[[#This Row],[Households without Children]:[Households with only Children]])</f>
        <v>372</v>
      </c>
      <c r="I27" s="33" t="s">
        <v>1</v>
      </c>
    </row>
    <row r="28" spans="1:9" ht="17.100000000000001" customHeight="1" x14ac:dyDescent="0.3">
      <c r="A28" s="2" t="s">
        <v>106</v>
      </c>
      <c r="B28" s="24">
        <f>SUMIFS(HicRawData[CH Beds HH w/o Children],
HicRawData[Project Type],$I$2,
HicRawData[Inventory Type],$I28)</f>
        <v>0</v>
      </c>
      <c r="C28" s="24">
        <f>SUMIFS(HicRawData[CH Beds HH w/ Children],
HicRawData[Project Type],$I$2,
HicRawData[Inventory Type],$I28)</f>
        <v>0</v>
      </c>
      <c r="D28" s="24">
        <f>SUMIFS(HicRawData[CH Beds HH w only Children],
HicRawData[Project Type],$I$2,
HicRawData[Inventory Type],$I28)</f>
        <v>0</v>
      </c>
      <c r="E28" s="24">
        <f>SUM(Chronic_InventoryType[[#This Row],[Households without Children]:[Households with only Children]])</f>
        <v>0</v>
      </c>
      <c r="I28" s="33" t="s">
        <v>6</v>
      </c>
    </row>
    <row r="29" spans="1:9" ht="15" customHeight="1" x14ac:dyDescent="0.3">
      <c r="A29" s="2" t="s">
        <v>100</v>
      </c>
      <c r="B29" s="25">
        <f>SUBTOTAL(109,Chronic_InventoryType[Households without Children])</f>
        <v>349</v>
      </c>
      <c r="C29" s="25">
        <f>SUBTOTAL(109,Chronic_InventoryType[Households with Children])</f>
        <v>23</v>
      </c>
      <c r="D29" s="25">
        <f>SUBTOTAL(109,Chronic_InventoryType[Households with only Children])</f>
        <v>0</v>
      </c>
      <c r="E29" s="25">
        <f>SUBTOTAL(109,Chronic_InventoryType[Total Year-Round Beds])</f>
        <v>372</v>
      </c>
    </row>
    <row r="30" spans="1:9" ht="15" customHeight="1" x14ac:dyDescent="0.3">
      <c r="B30" s="25"/>
      <c r="C30" s="25"/>
      <c r="D30" s="25"/>
      <c r="E30" s="25"/>
    </row>
    <row r="31" spans="1:9" ht="72" customHeight="1" x14ac:dyDescent="0.3">
      <c r="A31"/>
      <c r="B31"/>
      <c r="C31"/>
      <c r="D31"/>
      <c r="E31"/>
      <c r="F31"/>
      <c r="I31" s="33" t="s">
        <v>84</v>
      </c>
    </row>
    <row r="32" spans="1:9" ht="15" customHeight="1" x14ac:dyDescent="0.3">
      <c r="A32"/>
      <c r="B32"/>
      <c r="C32"/>
      <c r="D32"/>
      <c r="E32"/>
      <c r="F32"/>
      <c r="I32" s="33" t="s">
        <v>9</v>
      </c>
    </row>
    <row r="33" spans="1:12" ht="15" customHeight="1" x14ac:dyDescent="0.3">
      <c r="A33"/>
      <c r="B33"/>
      <c r="C33"/>
      <c r="D33"/>
      <c r="E33"/>
      <c r="F33"/>
      <c r="I33" s="33" t="s">
        <v>12</v>
      </c>
    </row>
    <row r="34" spans="1:12" ht="15" customHeight="1" x14ac:dyDescent="0.3">
      <c r="A34"/>
      <c r="B34"/>
      <c r="C34"/>
      <c r="D34"/>
      <c r="E34"/>
      <c r="F34"/>
      <c r="I34" s="33" t="s">
        <v>115</v>
      </c>
    </row>
    <row r="35" spans="1:12" ht="15" customHeight="1" x14ac:dyDescent="0.3">
      <c r="A35"/>
      <c r="B35"/>
      <c r="C35"/>
      <c r="D35"/>
      <c r="E35"/>
      <c r="F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SUMIFS(HicRawData[CH Beds HH w/o Children],
HicRawData[Project Type],$I$2,
HicRawData[Inventory Type],"C",
HicRawData[Project Type], Chronic_ProjectType[[#This Row],[All Beds by Project Type]])</f>
        <v>0</v>
      </c>
      <c r="C38" s="24">
        <f>SUMIFS(HicRawData[CH Beds HH w/ Children],
HicRawData[Project Type],$I$2,
HicRawData[Inventory Type],"C",
HicRawData[Project Type], Chronic_ProjectType[[#This Row],[All Beds by Project Type]])</f>
        <v>0</v>
      </c>
      <c r="D38" s="24">
        <f>SUMIFS(HicRawData[CH Beds HH w only Children],
HicRawData[Project Type],$I$2,
HicRawData[Inventory Type],"C",
HicRawData[Project Type], Chronic_ProjectType[[#This Row],[All Beds by Project Type]])</f>
        <v>0</v>
      </c>
      <c r="E38" s="24">
        <f>SUM(Chronic_ProjectType[[#This Row],[Households without Children]:[Households with only Children]])</f>
        <v>0</v>
      </c>
    </row>
    <row r="39" spans="1:12" ht="17.100000000000001" customHeight="1" x14ac:dyDescent="0.3">
      <c r="A39" s="2" t="s">
        <v>2</v>
      </c>
      <c r="B39" s="24">
        <f>SUMIFS(HicRawData[CH Beds HH w/o Children],
HicRawData[Project Type],$I$2,
HicRawData[Inventory Type],"C",
HicRawData[Project Type], Chronic_ProjectType[[#This Row],[All Beds by Project Type]])</f>
        <v>0</v>
      </c>
      <c r="C39" s="24">
        <f>SUMIFS(HicRawData[CH Beds HH w/ Children],
HicRawData[Project Type],$I$2,
HicRawData[Inventory Type],"C",
HicRawData[Project Type], Chronic_ProjectType[[#This Row],[All Beds by Project Type]])</f>
        <v>0</v>
      </c>
      <c r="D39" s="24">
        <f>SUMIFS(HicRawData[CH Beds HH w only Children],
HicRawData[Project Type],$I$2,
HicRawData[Inventory Type],"C",
HicRawData[Project Type], Chronic_ProjectType[[#This Row],[All Beds by Project Type]])</f>
        <v>0</v>
      </c>
      <c r="E39" s="24">
        <f>SUM(Chronic_ProjectType[[#This Row],[Households without Children]:[Households with only Children]])</f>
        <v>0</v>
      </c>
      <c r="H39" s="35"/>
    </row>
    <row r="40" spans="1:12" ht="17.100000000000001" customHeight="1" x14ac:dyDescent="0.3">
      <c r="A40" s="2" t="s">
        <v>11</v>
      </c>
      <c r="B40" s="24">
        <f>SUMIFS(HicRawData[CH Beds HH w/o Children],
HicRawData[Project Type],$I$2,
HicRawData[Inventory Type],"C",
HicRawData[Project Type], Chronic_ProjectType[[#This Row],[All Beds by Project Type]])</f>
        <v>0</v>
      </c>
      <c r="C40" s="24">
        <f>SUMIFS(HicRawData[CH Beds HH w/ Children],
HicRawData[Project Type],$I$2,
HicRawData[Inventory Type],"C",
HicRawData[Project Type], Chronic_ProjectType[[#This Row],[All Beds by Project Type]])</f>
        <v>0</v>
      </c>
      <c r="D40" s="24">
        <f>SUMIFS(HicRawData[CH Beds HH w only Children],
HicRawData[Project Type],$I$2,
HicRawData[Inventory Type],"C",
HicRawData[Project Type], Chronic_ProjectType[[#This Row],[All Beds by Project Type]])</f>
        <v>0</v>
      </c>
      <c r="E40" s="24">
        <f>SUM(Chronic_ProjectType[[#This Row],[Households without Children]:[Households with only Children]])</f>
        <v>0</v>
      </c>
      <c r="H40" s="35"/>
    </row>
    <row r="41" spans="1:12" ht="17.100000000000001" customHeight="1" x14ac:dyDescent="0.3">
      <c r="A41" s="2" t="s">
        <v>4</v>
      </c>
      <c r="B41" s="24">
        <f>SUMIFS(HicRawData[CH Beds HH w/o Children],
HicRawData[Project Type],$I$2,
HicRawData[Inventory Type],"C",
HicRawData[Project Type], Chronic_ProjectType[[#This Row],[All Beds by Project Type]])</f>
        <v>0</v>
      </c>
      <c r="C41" s="24">
        <f>SUMIFS(HicRawData[CH Beds HH w/ Children],
HicRawData[Project Type],$I$2,
HicRawData[Inventory Type],"C",
HicRawData[Project Type], Chronic_ProjectType[[#This Row],[All Beds by Project Type]])</f>
        <v>0</v>
      </c>
      <c r="D41" s="24">
        <f>SUMIFS(HicRawData[CH Beds HH w only Children],
HicRawData[Project Type],$I$2,
HicRawData[Inventory Type],"C",
HicRawData[Project Type], Chronic_ProjectType[[#This Row],[All Beds by Project Type]])</f>
        <v>0</v>
      </c>
      <c r="E41" s="24">
        <f>SUM(Chronic_ProjectType[[#This Row],[Households without Children]:[Households with only Children]])</f>
        <v>0</v>
      </c>
    </row>
    <row r="42" spans="1:12" ht="17.100000000000001" customHeight="1" x14ac:dyDescent="0.3">
      <c r="A42" s="2" t="s">
        <v>5</v>
      </c>
      <c r="B42" s="24">
        <f>SUMIFS(HicRawData[CH Beds HH w/o Children],
HicRawData[Project Type],$I$2,
HicRawData[Inventory Type],"C",
HicRawData[Project Type], Chronic_ProjectType[[#This Row],[All Beds by Project Type]])</f>
        <v>349</v>
      </c>
      <c r="C42" s="24">
        <f>SUMIFS(HicRawData[CH Beds HH w/ Children],
HicRawData[Project Type],$I$2,
HicRawData[Inventory Type],"C",
HicRawData[Project Type], Chronic_ProjectType[[#This Row],[All Beds by Project Type]])</f>
        <v>23</v>
      </c>
      <c r="D42" s="24">
        <f>SUMIFS(HicRawData[CH Beds HH w only Children],
HicRawData[Project Type],$I$2,
HicRawData[Inventory Type],"C",
HicRawData[Project Type], Chronic_ProjectType[[#This Row],[All Beds by Project Type]])</f>
        <v>0</v>
      </c>
      <c r="E42" s="24">
        <f>SUM(Chronic_ProjectType[[#This Row],[Households without Children]:[Households with only Children]])</f>
        <v>372</v>
      </c>
    </row>
    <row r="43" spans="1:12" ht="17.100000000000001" customHeight="1" x14ac:dyDescent="0.3">
      <c r="A43" s="2" t="s">
        <v>7</v>
      </c>
      <c r="B43" s="24">
        <f>SUMIFS(HicRawData[CH Beds HH w/o Children],
HicRawData[Project Type],$I$2,
HicRawData[Inventory Type],"C",
HicRawData[Project Type], Chronic_ProjectType[[#This Row],[All Beds by Project Type]])</f>
        <v>0</v>
      </c>
      <c r="C43" s="24">
        <f>SUMIFS(HicRawData[CH Beds HH w/ Children],
HicRawData[Project Type],$I$2,
HicRawData[Inventory Type],"C",
HicRawData[Project Type], Chronic_ProjectType[[#This Row],[All Beds by Project Type]])</f>
        <v>0</v>
      </c>
      <c r="D43" s="24">
        <f>SUMIFS(HicRawData[CH Beds HH w only Children],
HicRawData[Project Type],$I$2,
HicRawData[Inventory Type],"C",
HicRawData[Project Type], Chronic_ProjectType[[#This Row],[All Beds by Project Type]])</f>
        <v>0</v>
      </c>
      <c r="E43" s="24">
        <f>SUM(Chronic_ProjectType[[#This Row],[Households without Children]:[Households with only Children]])</f>
        <v>0</v>
      </c>
    </row>
    <row r="44" spans="1:12" ht="15" customHeight="1" x14ac:dyDescent="0.3">
      <c r="A44" s="2" t="s">
        <v>100</v>
      </c>
      <c r="B44" s="25">
        <f>SUBTOTAL(109,Chronic_ProjectType[Households without Children])</f>
        <v>349</v>
      </c>
      <c r="C44" s="25">
        <f>SUBTOTAL(109,Chronic_ProjectType[Households with Children])</f>
        <v>23</v>
      </c>
      <c r="D44" s="25">
        <f>SUBTOTAL(109,Chronic_ProjectType[Households with only Children])</f>
        <v>0</v>
      </c>
      <c r="E44" s="25">
        <f>SUBTOTAL(109,Chronic_ProjectType[Total Year-Round Beds])</f>
        <v>372</v>
      </c>
    </row>
    <row r="45" spans="1:12" ht="15" customHeight="1" x14ac:dyDescent="0.3">
      <c r="B45" s="25"/>
      <c r="C45" s="25"/>
      <c r="D45" s="25"/>
      <c r="E45" s="25"/>
    </row>
    <row r="46" spans="1:12" ht="72" customHeight="1" x14ac:dyDescent="0.3">
      <c r="A46" s="18" t="s">
        <v>125</v>
      </c>
      <c r="B46" s="18" t="s">
        <v>96</v>
      </c>
      <c r="C46" s="18" t="s">
        <v>97</v>
      </c>
      <c r="D46" s="18" t="s">
        <v>98</v>
      </c>
      <c r="E46" s="18" t="s">
        <v>99</v>
      </c>
      <c r="J46" s="36"/>
      <c r="K46" s="36"/>
      <c r="L46" s="12"/>
    </row>
    <row r="47" spans="1:12" ht="17.100000000000001" customHeight="1" x14ac:dyDescent="0.3">
      <c r="A47" s="2" t="s">
        <v>3</v>
      </c>
      <c r="B47" s="24">
        <f>SUMIFS(HicRawData[CH Beds HH w/o Children],
HicRawData[Project Type],$I$2,
HicRawData[Inventory Type],"C",
HicRawData[Project Type], Chronic_ProjectTypeHmisParticipation[[#This Row],[HMIS Beds by Project Type]],
HicRawData[HMIS Participating], "Yes")</f>
        <v>0</v>
      </c>
      <c r="C47" s="24">
        <f>SUMIFS(HicRawData[CH Beds HH w/ Children],
HicRawData[Project Type],$I$2,
HicRawData[Inventory Type],"C",
HicRawData[Project Type], Chronic_ProjectTypeHmisParticipation[[#This Row],[HMIS Beds by Project Type]],
HicRawData[HMIS Participating], "Yes")</f>
        <v>0</v>
      </c>
      <c r="D47" s="24">
        <f>SUMIFS(HicRawData[CH Beds HH w only Children],
HicRawData[Project Type],$I$2,
HicRawData[Inventory Type],"C",
HicRawData[Project Type], Chronic_ProjectTypeHmisParticipation[[#This Row],[HMIS Beds by Project Type]],
HicRawData[HMIS Participating], "Yes")</f>
        <v>0</v>
      </c>
      <c r="E47" s="23">
        <f>B47+C47+D47</f>
        <v>0</v>
      </c>
    </row>
    <row r="48" spans="1:12" ht="17.100000000000001" customHeight="1" x14ac:dyDescent="0.3">
      <c r="A48" s="2" t="s">
        <v>2</v>
      </c>
      <c r="B48" s="23">
        <f>SUMIFS(HicRawData[CH Beds HH w/o Children],
HicRawData[Project Type],$I$2,
HicRawData[Inventory Type],"C",
HicRawData[Project Type], Chronic_ProjectTypeHmisParticipation[[#This Row],[HMIS Beds by Project Type]],
HicRawData[HMIS Participating], "Yes")</f>
        <v>0</v>
      </c>
      <c r="C48" s="23">
        <f>SUMIFS(HicRawData[CH Beds HH w/ Children],
HicRawData[Project Type],$I$2,
HicRawData[Inventory Type],"C",
HicRawData[Project Type], Chronic_ProjectTypeHmisParticipation[[#This Row],[HMIS Beds by Project Type]],
HicRawData[HMIS Participating], "Yes")</f>
        <v>0</v>
      </c>
      <c r="D48" s="23">
        <f>SUMIFS(HicRawData[CH Beds HH w only Children],
HicRawData[Project Type],$I$2,
HicRawData[Inventory Type],"C",
HicRawData[Project Type], Chronic_ProjectTypeHmisParticipation[[#This Row],[HMIS Beds by Project Type]],
HicRawData[HMIS Participating], "Yes")</f>
        <v>0</v>
      </c>
      <c r="E48" s="23">
        <f t="shared" ref="E48:E52" si="0">B48+C48+D48</f>
        <v>0</v>
      </c>
    </row>
    <row r="49" spans="1:5" ht="17.100000000000001" customHeight="1" x14ac:dyDescent="0.3">
      <c r="A49" s="2" t="s">
        <v>11</v>
      </c>
      <c r="B49" s="23">
        <f>SUMIFS(HicRawData[CH Beds HH w/o Children],
HicRawData[Project Type],$I$2,
HicRawData[Inventory Type],"C",
HicRawData[Project Type], Chronic_ProjectTypeHmisParticipation[[#This Row],[HMIS Beds by Project Type]],
HicRawData[HMIS Participating], "Yes")</f>
        <v>0</v>
      </c>
      <c r="C49" s="23">
        <f>SUMIFS(HicRawData[CH Beds HH w/ Children],
HicRawData[Project Type],$I$2,
HicRawData[Inventory Type],"C",
HicRawData[Project Type], Chronic_ProjectTypeHmisParticipation[[#This Row],[HMIS Beds by Project Type]],
HicRawData[HMIS Participating], "Yes")</f>
        <v>0</v>
      </c>
      <c r="D49" s="23">
        <f>SUMIFS(HicRawData[CH Beds HH w only Children],
HicRawData[Project Type],$I$2,
HicRawData[Inventory Type],"C",
HicRawData[Project Type], Chronic_ProjectTypeHmisParticipation[[#This Row],[HMIS Beds by Project Type]],
HicRawData[HMIS Participating], "Yes")</f>
        <v>0</v>
      </c>
      <c r="E49" s="23">
        <f t="shared" si="0"/>
        <v>0</v>
      </c>
    </row>
    <row r="50" spans="1:5" ht="17.100000000000001" customHeight="1" x14ac:dyDescent="0.3">
      <c r="A50" s="2" t="s">
        <v>4</v>
      </c>
      <c r="B50" s="23">
        <f>SUMIFS(HicRawData[CH Beds HH w/o Children],
HicRawData[Project Type],$I$2,
HicRawData[Inventory Type],"C",
HicRawData[Project Type], Chronic_ProjectTypeHmisParticipation[[#This Row],[HMIS Beds by Project Type]],
HicRawData[HMIS Participating], "Yes")</f>
        <v>0</v>
      </c>
      <c r="C50" s="23">
        <f>SUMIFS(HicRawData[CH Beds HH w/ Children],
HicRawData[Project Type],$I$2,
HicRawData[Inventory Type],"C",
HicRawData[Project Type], Chronic_ProjectTypeHmisParticipation[[#This Row],[HMIS Beds by Project Type]],
HicRawData[HMIS Participating], "Yes")</f>
        <v>0</v>
      </c>
      <c r="D50" s="23">
        <f>SUMIFS(HicRawData[CH Beds HH w only Children],
HicRawData[Project Type],$I$2,
HicRawData[Inventory Type],"C",
HicRawData[Project Type], Chronic_ProjectTypeHmisParticipation[[#This Row],[HMIS Beds by Project Type]],
HicRawData[HMIS Participating], "Yes")</f>
        <v>0</v>
      </c>
      <c r="E50" s="23">
        <f t="shared" si="0"/>
        <v>0</v>
      </c>
    </row>
    <row r="51" spans="1:5" ht="17.100000000000001" customHeight="1" x14ac:dyDescent="0.3">
      <c r="A51" s="2" t="s">
        <v>5</v>
      </c>
      <c r="B51" s="23">
        <f>SUMIFS(HicRawData[CH Beds HH w/o Children],
HicRawData[Project Type],$I$2,
HicRawData[Inventory Type],"C",
HicRawData[Project Type], Chronic_ProjectTypeHmisParticipation[[#This Row],[HMIS Beds by Project Type]],
HicRawData[HMIS Participating], "Yes")</f>
        <v>128</v>
      </c>
      <c r="C51" s="23">
        <f>SUMIFS(HicRawData[CH Beds HH w/ Children],
HicRawData[Project Type],$I$2,
HicRawData[Inventory Type],"C",
HicRawData[Project Type], Chronic_ProjectTypeHmisParticipation[[#This Row],[HMIS Beds by Project Type]],
HicRawData[HMIS Participating], "Yes")</f>
        <v>23</v>
      </c>
      <c r="D51" s="23">
        <f>SUMIFS(HicRawData[CH Beds HH w only Children],
HicRawData[Project Type],$I$2,
HicRawData[Inventory Type],"C",
HicRawData[Project Type], Chronic_ProjectTypeHmisParticipation[[#This Row],[HMIS Beds by Project Type]],
HicRawData[HMIS Participating], "Yes")</f>
        <v>0</v>
      </c>
      <c r="E51" s="23">
        <f t="shared" si="0"/>
        <v>151</v>
      </c>
    </row>
    <row r="52" spans="1:5" ht="17.100000000000001" customHeight="1" x14ac:dyDescent="0.3">
      <c r="A52" s="2" t="s">
        <v>7</v>
      </c>
      <c r="B52" s="23">
        <f>SUMIFS(HicRawData[CH Beds HH w/o Children],
HicRawData[Project Type],$I$2,
HicRawData[Inventory Type],"C",
HicRawData[Project Type], Chronic_ProjectTypeHmisParticipation[[#This Row],[HMIS Beds by Project Type]],
HicRawData[HMIS Participating], "Yes")</f>
        <v>0</v>
      </c>
      <c r="C52" s="23">
        <f>SUMIFS(HicRawData[CH Beds HH w/ Children],
HicRawData[Project Type],$I$2,
HicRawData[Inventory Type],"C",
HicRawData[Project Type], Chronic_ProjectTypeHmisParticipation[[#This Row],[HMIS Beds by Project Type]],
HicRawData[HMIS Participating], "Yes")</f>
        <v>0</v>
      </c>
      <c r="D52" s="23">
        <f>SUMIFS(HicRawData[CH Beds HH w only Children],
HicRawData[Project Type],$I$2,
HicRawData[Inventory Type],"C",
HicRawData[Project Type], Chronic_ProjectTypeHmisParticipation[[#This Row],[HMIS Beds by Project Type]],
HicRawData[HMIS Participating], "Yes")</f>
        <v>0</v>
      </c>
      <c r="E52" s="23">
        <f t="shared" si="0"/>
        <v>0</v>
      </c>
    </row>
    <row r="53" spans="1:5" x14ac:dyDescent="0.3">
      <c r="A53" s="2" t="s">
        <v>100</v>
      </c>
      <c r="B53" s="26">
        <f>SUBTOTAL(109,Chronic_ProjectTypeHmisParticipation[Households without Children])</f>
        <v>128</v>
      </c>
      <c r="C53" s="26">
        <f>SUBTOTAL(109,Chronic_ProjectTypeHmisParticipation[Households with Children])</f>
        <v>23</v>
      </c>
      <c r="D53" s="26">
        <f>SUBTOTAL(109,Chronic_ProjectTypeHmisParticipation[Households with only Children])</f>
        <v>0</v>
      </c>
      <c r="E53" s="23">
        <f>SUBTOTAL(109,Chronic_ProjectTypeHmisParticipation[Total Year-Round Beds])</f>
        <v>151</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KG0qvqAaTflJ+BMTGUt4JzNyIeviyYQ8e5RGIGllq6yAxzLceh27NRU23k/Pc3vtbOQi8jYVUCJtb1YBIahQ8A==" saltValue="55Dlk3Of+Tubs2kkfqaUSw==" spinCount="100000" sheet="1" objects="1" scenarios="1"/>
  <conditionalFormatting sqref="A4:G4">
    <cfRule type="expression" dxfId="13"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CA8F-A620-491A-B86E-98003736C0FF}">
  <sheetPr codeName="Sheet14"/>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10" width="9.109375" style="33" hidden="1" customWidth="1"/>
    <col min="11" max="11" width="0" style="33" hidden="1" customWidth="1"/>
    <col min="12"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
        <v>131</v>
      </c>
      <c r="B2" s="30"/>
      <c r="C2" s="30"/>
      <c r="D2" s="30"/>
      <c r="E2" s="30"/>
      <c r="F2" s="30"/>
      <c r="G2" s="30"/>
      <c r="I2" s="33" t="s">
        <v>111</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F5"/>
      <c r="G5"/>
      <c r="H5" s="34"/>
    </row>
    <row r="6" spans="1:9" ht="72" customHeight="1" x14ac:dyDescent="0.3">
      <c r="A6" s="18" t="s">
        <v>102</v>
      </c>
      <c r="B6" s="18" t="s">
        <v>96</v>
      </c>
      <c r="C6" s="18" t="s">
        <v>97</v>
      </c>
      <c r="D6" s="18" t="s">
        <v>98</v>
      </c>
      <c r="E6" s="18" t="s">
        <v>99</v>
      </c>
      <c r="F6"/>
      <c r="G6"/>
      <c r="I6" s="33" t="s">
        <v>84</v>
      </c>
    </row>
    <row r="7" spans="1:9" ht="17.100000000000001" customHeight="1" x14ac:dyDescent="0.3">
      <c r="A7" s="10" t="s">
        <v>107</v>
      </c>
      <c r="B7" s="20">
        <f>SUMIFS(HicRawData[Veteran Beds HH w/o Children],
HicRawData[Project Type],$I$2,
HicRawData[Inventory Type],"C",
HicRawData[HMIS Participating],$I7)</f>
        <v>95</v>
      </c>
      <c r="C7" s="20">
        <f>SUMIFS(HicRawData[Veteran Beds HH w/ Children],
HicRawData[Project Type],$I$2,
HicRawData[Inventory Type],"C",
HicRawData[HMIS Participating],$I7)</f>
        <v>9</v>
      </c>
      <c r="D7" s="20">
        <v>0</v>
      </c>
      <c r="E7" s="20">
        <f>SUM(Vets_HmisParticipation[[#This Row],[Households without Children]:[Households with only Children]])</f>
        <v>104</v>
      </c>
      <c r="F7"/>
      <c r="G7"/>
      <c r="I7" s="33" t="s">
        <v>9</v>
      </c>
    </row>
    <row r="8" spans="1:9" ht="17.100000000000001" customHeight="1" x14ac:dyDescent="0.3">
      <c r="A8" s="10" t="s">
        <v>108</v>
      </c>
      <c r="B8" s="20">
        <f>SUMIFS(HicRawData[Veteran Beds HH w/o Children],
HicRawData[Project Type],$I$2,
HicRawData[Inventory Type],"C",
HicRawData[HMIS Participating],$I8)</f>
        <v>221</v>
      </c>
      <c r="C8" s="20">
        <f>SUMIFS(HicRawData[Veteran Beds HH w/ Children],
HicRawData[Project Type],$I$2,
HicRawData[Inventory Type],"C",
HicRawData[HMIS Participating],$I8)</f>
        <v>0</v>
      </c>
      <c r="D8" s="20">
        <v>0</v>
      </c>
      <c r="E8" s="20">
        <f>SUM(Vets_HmisParticipation[[#This Row],[Households without Children]:[Households with only Children]])</f>
        <v>221</v>
      </c>
      <c r="F8"/>
      <c r="G8"/>
      <c r="I8" s="33" t="s">
        <v>12</v>
      </c>
    </row>
    <row r="9" spans="1:9" ht="17.100000000000001" customHeight="1" x14ac:dyDescent="0.3">
      <c r="A9" s="10" t="s">
        <v>130</v>
      </c>
      <c r="B9" s="20">
        <f>SUMIFS(HicRawData[Veteran Beds HH w/o Children],
HicRawData[Project Type],$I$2,
HicRawData[Inventory Type],"C",
HicRawData[HMIS Participating],$I9)</f>
        <v>0</v>
      </c>
      <c r="C9" s="20">
        <f>SUMIFS(HicRawData[Veteran Beds HH w/ Children],
HicRawData[Project Type],$I$2,
HicRawData[Inventory Type],"C",
HicRawData[HMIS Participating],$I9)</f>
        <v>0</v>
      </c>
      <c r="D9" s="20">
        <v>0</v>
      </c>
      <c r="E9" s="20">
        <f>SUM(Vets_HmisParticipation[[#This Row],[Households without Children]:[Households with only Children]])</f>
        <v>0</v>
      </c>
      <c r="F9"/>
      <c r="G9"/>
      <c r="I9" s="33" t="s">
        <v>115</v>
      </c>
    </row>
    <row r="10" spans="1:9" ht="17.100000000000001" customHeight="1" x14ac:dyDescent="0.3">
      <c r="A10" s="2" t="s">
        <v>100</v>
      </c>
      <c r="B10" s="20">
        <f>SUBTOTAL(109,Vets_HmisParticipation[Households without Children])</f>
        <v>316</v>
      </c>
      <c r="C10" s="20">
        <f>SUBTOTAL(109,Vets_HmisParticipation[Households with Children])</f>
        <v>9</v>
      </c>
      <c r="D10" s="20">
        <f>SUBTOTAL(109,Vets_HmisParticipation[Households with only Children])</f>
        <v>0</v>
      </c>
      <c r="E10" s="20">
        <f>SUBTOTAL(109,Vets_HmisParticipation[Total Year-Round Beds])</f>
        <v>325</v>
      </c>
      <c r="F10"/>
      <c r="G10"/>
    </row>
    <row r="11" spans="1:9" ht="15" customHeight="1" x14ac:dyDescent="0.3">
      <c r="A11" s="4" t="s">
        <v>101</v>
      </c>
      <c r="B11" s="21">
        <f>IF(B7=0,"N/A",B7/Vets_HmisParticipation[[#Totals],[Households without Children]])</f>
        <v>0.30063291139240506</v>
      </c>
      <c r="C11" s="21">
        <f>IF(C7=0,"N/A",C7/Vets_HmisParticipation[[#Totals],[Households with Children]])</f>
        <v>1</v>
      </c>
      <c r="D11" s="21" t="str">
        <f>IF(D7=0,"N/A",D7/Vets_HmisParticipation[[#Totals],[Households with only Children]])</f>
        <v>N/A</v>
      </c>
      <c r="E11" s="21">
        <f>IF(E7=0,"N/A",E7/Vets_HmisParticipation[[#Totals],[Total Year-Round Beds]])</f>
        <v>0.32</v>
      </c>
      <c r="F11"/>
      <c r="G11"/>
    </row>
    <row r="12" spans="1:9" ht="15" customHeight="1" x14ac:dyDescent="0.3">
      <c r="A12" s="4"/>
      <c r="B12" s="5"/>
      <c r="C12" s="5"/>
      <c r="D12" s="5"/>
      <c r="E12" s="5"/>
      <c r="F12"/>
      <c r="G12"/>
    </row>
    <row r="13" spans="1:9" ht="72" customHeight="1" x14ac:dyDescent="0.3">
      <c r="A13" s="17" t="s">
        <v>127</v>
      </c>
      <c r="B13" s="17" t="s">
        <v>96</v>
      </c>
      <c r="C13" s="17" t="s">
        <v>97</v>
      </c>
      <c r="D13" s="17" t="s">
        <v>98</v>
      </c>
      <c r="E13" s="17" t="s">
        <v>99</v>
      </c>
      <c r="F13"/>
      <c r="G13"/>
      <c r="I13" s="33" t="s">
        <v>84</v>
      </c>
    </row>
    <row r="14" spans="1:9" ht="17.100000000000001" customHeight="1" x14ac:dyDescent="0.3">
      <c r="A14" s="10" t="s">
        <v>113</v>
      </c>
      <c r="B14" s="20">
        <f>SUMIFS(HicRawData[Veteran Beds HH w/o Children],
HicRawData[Project Type],$I$2,
HicRawData[Inventory Type],"C",
HicRawData[HMIS Participating],$I14,
HicRawData[Victim Service Provider],0)</f>
        <v>95</v>
      </c>
      <c r="C14" s="20">
        <f>SUMIFS(HicRawData[Veteran Beds HH w/ Children],
HicRawData[Project Type],$I$2,
HicRawData[Inventory Type],"C",
HicRawData[HMIS Participating],$I14,
HicRawData[Victim Service Provider],0)</f>
        <v>9</v>
      </c>
      <c r="D14" s="20">
        <v>0</v>
      </c>
      <c r="E14" s="20">
        <f>SUM(Vets_NonVspHmisParticipation[[#This Row],[Households without Children]:[Households with only Children]])</f>
        <v>104</v>
      </c>
      <c r="F14"/>
      <c r="G14"/>
      <c r="I14" s="33" t="s">
        <v>9</v>
      </c>
    </row>
    <row r="15" spans="1:9" ht="17.100000000000001" customHeight="1" x14ac:dyDescent="0.3">
      <c r="A15" s="10" t="s">
        <v>114</v>
      </c>
      <c r="B15" s="20">
        <f>SUMIFS(HicRawData[Veteran Beds HH w/o Children],
HicRawData[Project Type],$I$2,
HicRawData[Inventory Type],"C",
HicRawData[HMIS Participating],$I15,
HicRawData[Victim Service Provider],0)</f>
        <v>221</v>
      </c>
      <c r="C15" s="20">
        <f>SUMIFS(HicRawData[Veteran Beds HH w/ Children],
HicRawData[Project Type],$I$2,
HicRawData[Inventory Type],"C",
HicRawData[HMIS Participating],$I15,
HicRawData[Victim Service Provider],0)</f>
        <v>0</v>
      </c>
      <c r="D15" s="20">
        <v>0</v>
      </c>
      <c r="E15" s="20">
        <f>SUM(Vets_NonVspHmisParticipation[[#This Row],[Households without Children]:[Households with only Children]])</f>
        <v>221</v>
      </c>
      <c r="F15"/>
      <c r="G15"/>
      <c r="I15" s="33" t="s">
        <v>12</v>
      </c>
    </row>
    <row r="16" spans="1:9" ht="17.100000000000001" customHeight="1" x14ac:dyDescent="0.3">
      <c r="A16" s="10" t="s">
        <v>129</v>
      </c>
      <c r="B16" s="20">
        <f>SUMIFS(HicRawData[Veteran Beds HH w/o Children],
HicRawData[Project Type],$I$2,
HicRawData[Inventory Type],"C",
HicRawData[HMIS Participating],$I16,
HicRawData[Victim Service Provider],0)</f>
        <v>0</v>
      </c>
      <c r="C16" s="20">
        <f>SUMIFS(HicRawData[Veteran Beds HH w/ Children],
HicRawData[Project Type],$I$2,
HicRawData[Inventory Type],"C",
HicRawData[HMIS Participating],$I16,
HicRawData[Victim Service Provider],0)</f>
        <v>0</v>
      </c>
      <c r="D16" s="20">
        <v>0</v>
      </c>
      <c r="E16" s="20">
        <f>SUM(Vets_NonVspHmisParticipation[[#This Row],[Households without Children]:[Households with only Children]])</f>
        <v>0</v>
      </c>
      <c r="F16" s="37"/>
      <c r="G16" s="37"/>
      <c r="I16" s="33" t="s">
        <v>115</v>
      </c>
    </row>
    <row r="17" spans="1:9" ht="17.100000000000001" customHeight="1" x14ac:dyDescent="0.3">
      <c r="A17" s="10" t="s">
        <v>100</v>
      </c>
      <c r="B17" s="22">
        <f>SUBTOTAL(109,Vets_NonVspHmisParticipation[Households without Children])</f>
        <v>316</v>
      </c>
      <c r="C17" s="22">
        <f>SUBTOTAL(109,Vets_NonVspHmisParticipation[Households with Children])</f>
        <v>9</v>
      </c>
      <c r="D17" s="22">
        <f>SUBTOTAL(109,Vets_NonVspHmisParticipation[Households with only Children])</f>
        <v>0</v>
      </c>
      <c r="E17" s="22">
        <f>SUBTOTAL(109,Vets_NonVspHmisParticipation[Total Year-Round Beds])</f>
        <v>325</v>
      </c>
      <c r="F17" s="22"/>
      <c r="G17" s="22"/>
    </row>
    <row r="18" spans="1:9" ht="15" customHeight="1" x14ac:dyDescent="0.3">
      <c r="A18" s="4" t="s">
        <v>128</v>
      </c>
      <c r="B18" s="21">
        <f>IF(B14=0,"N/A",B14/Vets_NonVspHmisParticipation[[#Totals],[Households without Children]])</f>
        <v>0.30063291139240506</v>
      </c>
      <c r="C18" s="21">
        <f>IF(C14=0,"N/A",C14/Vets_NonVspHmisParticipation[[#Totals],[Households with Children]])</f>
        <v>1</v>
      </c>
      <c r="D18" s="21" t="str">
        <f>IF(D14=0,"N/A",D14/Vets_NonVspHmisParticipation[[#Totals],[Households with only Children]])</f>
        <v>N/A</v>
      </c>
      <c r="E18" s="21">
        <f>IF(E14=0,"N/A",E14/Vets_NonVspHmisParticipation[[#Totals],[Total Year-Round Beds]])</f>
        <v>0.32</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34"/>
    </row>
    <row r="21" spans="1:9" ht="17.100000000000001" customHeight="1" x14ac:dyDescent="0.3">
      <c r="A21" s="2" t="s">
        <v>8</v>
      </c>
      <c r="B21" s="24">
        <f>SUMIFS(HicRawData[Veteran Beds HH w/o Children],
HicRawData[Project Type],$I$2,
HicRawData[Inventory Type],"C",
HicRawData[Target Population],Vets_TargetPopulation[[#This Row],[Beds by Target Population]])</f>
        <v>0</v>
      </c>
      <c r="C21" s="24">
        <f>SUMIFS(HicRawData[Veteran Beds HH w/ Children],
HicRawData[Project Type],$I$2,
HicRawData[Inventory Type],"C",
HicRawData[Target Population],Vets_TargetPopulation[[#This Row],[Beds by Target Population]])</f>
        <v>0</v>
      </c>
      <c r="D21" s="24">
        <v>0</v>
      </c>
      <c r="E21" s="24">
        <f>SUM(Vets_TargetPopulation[[#This Row],[Households without Children]:[Households with only Children]])</f>
        <v>0</v>
      </c>
    </row>
    <row r="22" spans="1:9" ht="17.100000000000001" customHeight="1" x14ac:dyDescent="0.3">
      <c r="A22" s="2" t="s">
        <v>10</v>
      </c>
      <c r="B22" s="24">
        <f>SUMIFS(HicRawData[Veteran Beds HH w/o Children],
HicRawData[Project Type],$I$2,
HicRawData[Inventory Type],"C",
HicRawData[Target Population],Vets_TargetPopulation[[#This Row],[Beds by Target Population]])</f>
        <v>0</v>
      </c>
      <c r="C22" s="24">
        <f>SUMIFS(HicRawData[Veteran Beds HH w/ Children],
HicRawData[Project Type],$I$2,
HicRawData[Inventory Type],"C",
HicRawData[Target Population],Vets_TargetPopulation[[#This Row],[Beds by Target Population]])</f>
        <v>0</v>
      </c>
      <c r="D22" s="24">
        <v>0</v>
      </c>
      <c r="E22" s="24">
        <f>SUM(Vets_TargetPopulation[[#This Row],[Households without Children]:[Households with only Children]])</f>
        <v>0</v>
      </c>
    </row>
    <row r="23" spans="1:9" ht="17.100000000000001" customHeight="1" x14ac:dyDescent="0.3">
      <c r="A23" s="2" t="s">
        <v>0</v>
      </c>
      <c r="B23" s="24">
        <f>SUMIFS(HicRawData[Veteran Beds HH w/o Children],
HicRawData[Project Type],$I$2,
HicRawData[Inventory Type],"C",
HicRawData[Target Population],Vets_TargetPopulation[[#This Row],[Beds by Target Population]])</f>
        <v>316</v>
      </c>
      <c r="C23" s="24">
        <f>SUMIFS(HicRawData[Veteran Beds HH w/ Children],
HicRawData[Project Type],$I$2,
HicRawData[Inventory Type],"C",
HicRawData[Target Population],Vets_TargetPopulation[[#This Row],[Beds by Target Population]])</f>
        <v>9</v>
      </c>
      <c r="D23" s="24">
        <v>0</v>
      </c>
      <c r="E23" s="24">
        <f>SUM(Vets_TargetPopulation[[#This Row],[Households without Children]:[Households with only Children]])</f>
        <v>325</v>
      </c>
    </row>
    <row r="24" spans="1:9" ht="15" customHeight="1" x14ac:dyDescent="0.3">
      <c r="A24" s="2" t="s">
        <v>100</v>
      </c>
      <c r="B24" s="25">
        <f>SUBTOTAL(109,Vets_TargetPopulation[Households without Children])</f>
        <v>316</v>
      </c>
      <c r="C24" s="25">
        <f>SUBTOTAL(109,Vets_TargetPopulation[Households with Children])</f>
        <v>9</v>
      </c>
      <c r="D24" s="25">
        <f>SUBTOTAL(109,Vets_TargetPopulation[Households with only Children])</f>
        <v>0</v>
      </c>
      <c r="E24" s="25">
        <f>SUBTOTAL(109,Vets_TargetPopulation[Total Year-Round Beds])</f>
        <v>325</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SUMIFS(HicRawData[Veteran Beds HH w/o Children],
HicRawData[Project Type],$I$2,
HicRawData[Inventory Type],$I27)</f>
        <v>316</v>
      </c>
      <c r="C27" s="24">
        <f>SUMIFS(HicRawData[Veteran Beds HH w/ Children],
HicRawData[Project Type],$I$2,
HicRawData[Inventory Type],$I27)</f>
        <v>9</v>
      </c>
      <c r="D27" s="24">
        <v>0</v>
      </c>
      <c r="E27" s="24">
        <f>SUM(Vets_InventoryType[[#This Row],[Households without Children]:[Households with only Children]])</f>
        <v>325</v>
      </c>
      <c r="I27" s="33" t="s">
        <v>1</v>
      </c>
    </row>
    <row r="28" spans="1:9" ht="17.100000000000001" customHeight="1" x14ac:dyDescent="0.3">
      <c r="A28" s="2" t="s">
        <v>106</v>
      </c>
      <c r="B28" s="24">
        <f>SUMIFS(HicRawData[Veteran Beds HH w/o Children],
HicRawData[Project Type],$I$2,
HicRawData[Inventory Type],$I28)</f>
        <v>0</v>
      </c>
      <c r="C28" s="24">
        <f>SUMIFS(HicRawData[Veteran Beds HH w/ Children],
HicRawData[Project Type],$I$2,
HicRawData[Inventory Type],$I28)</f>
        <v>0</v>
      </c>
      <c r="D28" s="24">
        <v>0</v>
      </c>
      <c r="E28" s="24">
        <f>SUM(Vets_InventoryType[[#This Row],[Households without Children]:[Households with only Children]])</f>
        <v>0</v>
      </c>
      <c r="I28" s="33" t="s">
        <v>6</v>
      </c>
    </row>
    <row r="29" spans="1:9" ht="15" customHeight="1" x14ac:dyDescent="0.3">
      <c r="A29" s="2" t="s">
        <v>100</v>
      </c>
      <c r="B29" s="25">
        <f>SUBTOTAL(109,Vets_InventoryType[Households without Children])</f>
        <v>316</v>
      </c>
      <c r="C29" s="25">
        <f>SUBTOTAL(109,Vets_InventoryType[Households with Children])</f>
        <v>9</v>
      </c>
      <c r="D29" s="25">
        <f>SUBTOTAL(109,Vets_InventoryType[Households with only Children])</f>
        <v>0</v>
      </c>
      <c r="E29" s="25">
        <f>SUBTOTAL(109,Vets_InventoryType[Total Year-Round Beds])</f>
        <v>325</v>
      </c>
    </row>
    <row r="30" spans="1:9" ht="15" customHeight="1" x14ac:dyDescent="0.3">
      <c r="B30" s="25"/>
      <c r="C30" s="25"/>
      <c r="D30" s="25"/>
      <c r="E30" s="25"/>
    </row>
    <row r="31" spans="1:9" ht="72" customHeight="1" x14ac:dyDescent="0.3">
      <c r="A31"/>
      <c r="B31"/>
      <c r="C31"/>
      <c r="D31"/>
      <c r="E31"/>
      <c r="F31"/>
      <c r="I31" s="33" t="s">
        <v>84</v>
      </c>
    </row>
    <row r="32" spans="1:9" ht="15" customHeight="1" x14ac:dyDescent="0.3">
      <c r="A32"/>
      <c r="B32"/>
      <c r="C32"/>
      <c r="D32"/>
      <c r="E32"/>
      <c r="F32"/>
      <c r="I32" s="33" t="s">
        <v>9</v>
      </c>
    </row>
    <row r="33" spans="1:12" ht="15" customHeight="1" x14ac:dyDescent="0.3">
      <c r="A33"/>
      <c r="B33"/>
      <c r="C33"/>
      <c r="D33"/>
      <c r="E33"/>
      <c r="F33"/>
      <c r="I33" s="33" t="s">
        <v>12</v>
      </c>
    </row>
    <row r="34" spans="1:12" ht="15" customHeight="1" x14ac:dyDescent="0.3">
      <c r="A34"/>
      <c r="B34"/>
      <c r="C34"/>
      <c r="D34"/>
      <c r="E34"/>
      <c r="F34"/>
      <c r="I34" s="33" t="s">
        <v>115</v>
      </c>
    </row>
    <row r="35" spans="1:12" ht="15" customHeight="1" x14ac:dyDescent="0.3">
      <c r="A35"/>
      <c r="B35"/>
      <c r="C35"/>
      <c r="D35"/>
      <c r="E35"/>
      <c r="F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SUMIFS(HicRawData[Veteran Beds HH w/o Children],
HicRawData[Project Type],$I$2,
HicRawData[Inventory Type],"C",
HicRawData[Project Type], Vets_ProjectType[[#This Row],[All Beds by Project Type]])</f>
        <v>0</v>
      </c>
      <c r="C38" s="24">
        <f>SUMIFS(HicRawData[Veteran Beds HH w/ Children],
HicRawData[Project Type],$I$2,
HicRawData[Inventory Type],"C",
HicRawData[Project Type], Vets_ProjectType[[#This Row],[All Beds by Project Type]])</f>
        <v>0</v>
      </c>
      <c r="D38" s="24">
        <v>0</v>
      </c>
      <c r="E38" s="24">
        <f>SUM(Vets_ProjectType[[#This Row],[Households without Children]:[Households with only Children]])</f>
        <v>0</v>
      </c>
    </row>
    <row r="39" spans="1:12" ht="17.100000000000001" customHeight="1" x14ac:dyDescent="0.3">
      <c r="A39" s="2" t="s">
        <v>2</v>
      </c>
      <c r="B39" s="24">
        <f>SUMIFS(HicRawData[Veteran Beds HH w/o Children],
HicRawData[Project Type],$I$2,
HicRawData[Inventory Type],"C",
HicRawData[Project Type], Vets_ProjectType[[#This Row],[All Beds by Project Type]])</f>
        <v>52</v>
      </c>
      <c r="C39" s="24">
        <f>SUMIFS(HicRawData[Veteran Beds HH w/ Children],
HicRawData[Project Type],$I$2,
HicRawData[Inventory Type],"C",
HicRawData[Project Type], Vets_ProjectType[[#This Row],[All Beds by Project Type]])</f>
        <v>0</v>
      </c>
      <c r="D39" s="24">
        <v>0</v>
      </c>
      <c r="E39" s="24">
        <f>SUM(Vets_ProjectType[[#This Row],[Households without Children]:[Households with only Children]])</f>
        <v>52</v>
      </c>
      <c r="H39" s="35"/>
    </row>
    <row r="40" spans="1:12" ht="17.100000000000001" customHeight="1" x14ac:dyDescent="0.3">
      <c r="A40" s="2" t="s">
        <v>11</v>
      </c>
      <c r="B40" s="24">
        <f>SUMIFS(HicRawData[Veteran Beds HH w/o Children],
HicRawData[Project Type],$I$2,
HicRawData[Inventory Type],"C",
HicRawData[Project Type], Vets_ProjectType[[#This Row],[All Beds by Project Type]])</f>
        <v>0</v>
      </c>
      <c r="C40" s="24">
        <f>SUMIFS(HicRawData[Veteran Beds HH w/ Children],
HicRawData[Project Type],$I$2,
HicRawData[Inventory Type],"C",
HicRawData[Project Type], Vets_ProjectType[[#This Row],[All Beds by Project Type]])</f>
        <v>0</v>
      </c>
      <c r="D40" s="24">
        <v>0</v>
      </c>
      <c r="E40" s="24">
        <f>SUM(Vets_ProjectType[[#This Row],[Households without Children]:[Households with only Children]])</f>
        <v>0</v>
      </c>
      <c r="H40" s="35"/>
    </row>
    <row r="41" spans="1:12" ht="17.100000000000001" customHeight="1" x14ac:dyDescent="0.3">
      <c r="A41" s="2" t="s">
        <v>4</v>
      </c>
      <c r="B41" s="24">
        <f>SUMIFS(HicRawData[Veteran Beds HH w/o Children],
HicRawData[Project Type],$I$2,
HicRawData[Inventory Type],"C",
HicRawData[Project Type], Vets_ProjectType[[#This Row],[All Beds by Project Type]])</f>
        <v>43</v>
      </c>
      <c r="C41" s="24">
        <f>SUMIFS(HicRawData[Veteran Beds HH w/ Children],
HicRawData[Project Type],$I$2,
HicRawData[Inventory Type],"C",
HicRawData[Project Type], Vets_ProjectType[[#This Row],[All Beds by Project Type]])</f>
        <v>9</v>
      </c>
      <c r="D41" s="24">
        <v>0</v>
      </c>
      <c r="E41" s="24">
        <f>SUM(Vets_ProjectType[[#This Row],[Households without Children]:[Households with only Children]])</f>
        <v>52</v>
      </c>
    </row>
    <row r="42" spans="1:12" ht="17.100000000000001" customHeight="1" x14ac:dyDescent="0.3">
      <c r="A42" s="2" t="s">
        <v>5</v>
      </c>
      <c r="B42" s="24">
        <f>SUMIFS(HicRawData[Veteran Beds HH w/o Children],
HicRawData[Project Type],$I$2,
HicRawData[Inventory Type],"C",
HicRawData[Project Type], Vets_ProjectType[[#This Row],[All Beds by Project Type]])</f>
        <v>221</v>
      </c>
      <c r="C42" s="24">
        <f>SUMIFS(HicRawData[Veteran Beds HH w/ Children],
HicRawData[Project Type],$I$2,
HicRawData[Inventory Type],"C",
HicRawData[Project Type], Vets_ProjectType[[#This Row],[All Beds by Project Type]])</f>
        <v>0</v>
      </c>
      <c r="D42" s="24">
        <v>0</v>
      </c>
      <c r="E42" s="24">
        <f>SUM(Vets_ProjectType[[#This Row],[Households without Children]:[Households with only Children]])</f>
        <v>221</v>
      </c>
    </row>
    <row r="43" spans="1:12" ht="17.100000000000001" customHeight="1" x14ac:dyDescent="0.3">
      <c r="A43" s="2" t="s">
        <v>7</v>
      </c>
      <c r="B43" s="24">
        <f>SUMIFS(HicRawData[Veteran Beds HH w/o Children],
HicRawData[Project Type],$I$2,
HicRawData[Inventory Type],"C",
HicRawData[Project Type], Vets_ProjectType[[#This Row],[All Beds by Project Type]])</f>
        <v>0</v>
      </c>
      <c r="C43" s="24">
        <f>SUMIFS(HicRawData[Veteran Beds HH w/ Children],
HicRawData[Project Type],$I$2,
HicRawData[Inventory Type],"C",
HicRawData[Project Type], Vets_ProjectType[[#This Row],[All Beds by Project Type]])</f>
        <v>0</v>
      </c>
      <c r="D43" s="24">
        <v>0</v>
      </c>
      <c r="E43" s="24">
        <f>SUM(Vets_ProjectType[[#This Row],[Households without Children]:[Households with only Children]])</f>
        <v>0</v>
      </c>
    </row>
    <row r="44" spans="1:12" ht="15" customHeight="1" x14ac:dyDescent="0.3">
      <c r="A44" s="2" t="s">
        <v>100</v>
      </c>
      <c r="B44" s="25">
        <f>SUBTOTAL(109,Vets_ProjectType[Households without Children])</f>
        <v>316</v>
      </c>
      <c r="C44" s="25">
        <f>SUBTOTAL(109,Vets_ProjectType[Households with Children])</f>
        <v>9</v>
      </c>
      <c r="D44" s="25">
        <f>SUBTOTAL(109,Vets_ProjectType[Households with only Children])</f>
        <v>0</v>
      </c>
      <c r="E44" s="25">
        <f>SUBTOTAL(109,Vets_ProjectType[Total Year-Round Beds])</f>
        <v>325</v>
      </c>
    </row>
    <row r="45" spans="1:12" ht="15" customHeight="1" x14ac:dyDescent="0.3">
      <c r="B45" s="25"/>
      <c r="C45" s="25"/>
      <c r="D45" s="25"/>
      <c r="E45" s="25"/>
    </row>
    <row r="46" spans="1:12" ht="72" customHeight="1" x14ac:dyDescent="0.3">
      <c r="A46" s="18" t="s">
        <v>125</v>
      </c>
      <c r="B46" s="18" t="s">
        <v>96</v>
      </c>
      <c r="C46" s="18" t="s">
        <v>97</v>
      </c>
      <c r="D46" s="18" t="s">
        <v>98</v>
      </c>
      <c r="E46" s="18" t="s">
        <v>99</v>
      </c>
      <c r="J46" s="36"/>
      <c r="K46" s="36"/>
      <c r="L46" s="12"/>
    </row>
    <row r="47" spans="1:12" ht="17.100000000000001" customHeight="1" x14ac:dyDescent="0.3">
      <c r="A47" s="2" t="s">
        <v>3</v>
      </c>
      <c r="B47" s="24">
        <f>SUMIFS(HicRawData[Veteran Beds HH w/o Children],
HicRawData[Project Type],$I$2,
HicRawData[Inventory Type],"C",
HicRawData[Project Type], Vets_ProjectTypeHmisParticipation[[#This Row],[HMIS Beds by Project Type]],
HicRawData[HMIS Participating], "Yes")</f>
        <v>0</v>
      </c>
      <c r="C47" s="24">
        <f>SUMIFS(HicRawData[Veteran Beds HH w/ Children],
HicRawData[Project Type],$I$2,
HicRawData[Inventory Type],"C",
HicRawData[Project Type], Vets_ProjectTypeHmisParticipation[[#This Row],[HMIS Beds by Project Type]],
HicRawData[HMIS Participating], "Yes")</f>
        <v>0</v>
      </c>
      <c r="D47" s="24">
        <v>0</v>
      </c>
      <c r="E47" s="23">
        <f>B47+C47+D47</f>
        <v>0</v>
      </c>
    </row>
    <row r="48" spans="1:12" ht="17.100000000000001" customHeight="1" x14ac:dyDescent="0.3">
      <c r="A48" s="2" t="s">
        <v>2</v>
      </c>
      <c r="B48" s="23">
        <f>SUMIFS(HicRawData[Veteran Beds HH w/o Children],
HicRawData[Project Type],$I$2,
HicRawData[Inventory Type],"C",
HicRawData[Project Type], Vets_ProjectTypeHmisParticipation[[#This Row],[HMIS Beds by Project Type]],
HicRawData[HMIS Participating], "Yes")</f>
        <v>52</v>
      </c>
      <c r="C48" s="23">
        <f>SUMIFS(HicRawData[Veteran Beds HH w/ Children],
HicRawData[Project Type],$I$2,
HicRawData[Inventory Type],"C",
HicRawData[Project Type], Vets_ProjectTypeHmisParticipation[[#This Row],[HMIS Beds by Project Type]],
HicRawData[HMIS Participating], "Yes")</f>
        <v>0</v>
      </c>
      <c r="D48" s="23">
        <v>0</v>
      </c>
      <c r="E48" s="23">
        <f t="shared" ref="E48:E52" si="0">B48+C48+D48</f>
        <v>52</v>
      </c>
    </row>
    <row r="49" spans="1:5" ht="17.100000000000001" customHeight="1" x14ac:dyDescent="0.3">
      <c r="A49" s="2" t="s">
        <v>11</v>
      </c>
      <c r="B49" s="23">
        <f>SUMIFS(HicRawData[Veteran Beds HH w/o Children],
HicRawData[Project Type],$I$2,
HicRawData[Inventory Type],"C",
HicRawData[Project Type], Vets_ProjectTypeHmisParticipation[[#This Row],[HMIS Beds by Project Type]],
HicRawData[HMIS Participating], "Yes")</f>
        <v>0</v>
      </c>
      <c r="C49" s="23">
        <f>SUMIFS(HicRawData[Veteran Beds HH w/ Children],
HicRawData[Project Type],$I$2,
HicRawData[Inventory Type],"C",
HicRawData[Project Type], Vets_ProjectTypeHmisParticipation[[#This Row],[HMIS Beds by Project Type]],
HicRawData[HMIS Participating], "Yes")</f>
        <v>0</v>
      </c>
      <c r="D49" s="23">
        <v>0</v>
      </c>
      <c r="E49" s="23">
        <f t="shared" si="0"/>
        <v>0</v>
      </c>
    </row>
    <row r="50" spans="1:5" ht="17.100000000000001" customHeight="1" x14ac:dyDescent="0.3">
      <c r="A50" s="2" t="s">
        <v>4</v>
      </c>
      <c r="B50" s="23">
        <f>SUMIFS(HicRawData[Veteran Beds HH w/o Children],
HicRawData[Project Type],$I$2,
HicRawData[Inventory Type],"C",
HicRawData[Project Type], Vets_ProjectTypeHmisParticipation[[#This Row],[HMIS Beds by Project Type]],
HicRawData[HMIS Participating], "Yes")</f>
        <v>43</v>
      </c>
      <c r="C50" s="23">
        <f>SUMIFS(HicRawData[Veteran Beds HH w/ Children],
HicRawData[Project Type],$I$2,
HicRawData[Inventory Type],"C",
HicRawData[Project Type], Vets_ProjectTypeHmisParticipation[[#This Row],[HMIS Beds by Project Type]],
HicRawData[HMIS Participating], "Yes")</f>
        <v>9</v>
      </c>
      <c r="D50" s="23">
        <v>0</v>
      </c>
      <c r="E50" s="23">
        <f t="shared" si="0"/>
        <v>52</v>
      </c>
    </row>
    <row r="51" spans="1:5" ht="17.100000000000001" customHeight="1" x14ac:dyDescent="0.3">
      <c r="A51" s="2" t="s">
        <v>5</v>
      </c>
      <c r="B51" s="23">
        <f>SUMIFS(HicRawData[Veteran Beds HH w/o Children],
HicRawData[Project Type],$I$2,
HicRawData[Inventory Type],"C",
HicRawData[Project Type], Vets_ProjectTypeHmisParticipation[[#This Row],[HMIS Beds by Project Type]],
HicRawData[HMIS Participating], "Yes")</f>
        <v>0</v>
      </c>
      <c r="C51" s="23">
        <f>SUMIFS(HicRawData[Veteran Beds HH w/ Children],
HicRawData[Project Type],$I$2,
HicRawData[Inventory Type],"C",
HicRawData[Project Type], Vets_ProjectTypeHmisParticipation[[#This Row],[HMIS Beds by Project Type]],
HicRawData[HMIS Participating], "Yes")</f>
        <v>0</v>
      </c>
      <c r="D51" s="23">
        <v>0</v>
      </c>
      <c r="E51" s="23">
        <f t="shared" si="0"/>
        <v>0</v>
      </c>
    </row>
    <row r="52" spans="1:5" ht="17.100000000000001" customHeight="1" x14ac:dyDescent="0.3">
      <c r="A52" s="2" t="s">
        <v>7</v>
      </c>
      <c r="B52" s="23">
        <f>SUMIFS(HicRawData[Veteran Beds HH w/o Children],
HicRawData[Project Type],$I$2,
HicRawData[Inventory Type],"C",
HicRawData[Project Type], Vets_ProjectTypeHmisParticipation[[#This Row],[HMIS Beds by Project Type]],
HicRawData[HMIS Participating], "Yes")</f>
        <v>0</v>
      </c>
      <c r="C52" s="23">
        <f>SUMIFS(HicRawData[Veteran Beds HH w/ Children],
HicRawData[Project Type],$I$2,
HicRawData[Inventory Type],"C",
HicRawData[Project Type], Vets_ProjectTypeHmisParticipation[[#This Row],[HMIS Beds by Project Type]],
HicRawData[HMIS Participating], "Yes")</f>
        <v>0</v>
      </c>
      <c r="D52" s="23">
        <v>0</v>
      </c>
      <c r="E52" s="23">
        <f t="shared" si="0"/>
        <v>0</v>
      </c>
    </row>
    <row r="53" spans="1:5" x14ac:dyDescent="0.3">
      <c r="A53" s="2" t="s">
        <v>100</v>
      </c>
      <c r="B53" s="26">
        <f>SUBTOTAL(109,Vets_ProjectTypeHmisParticipation[Households without Children])</f>
        <v>95</v>
      </c>
      <c r="C53" s="26">
        <f>SUBTOTAL(109,Vets_ProjectTypeHmisParticipation[Households with Children])</f>
        <v>9</v>
      </c>
      <c r="D53" s="26">
        <f>SUBTOTAL(109,Vets_ProjectTypeHmisParticipation[Households with only Children])</f>
        <v>0</v>
      </c>
      <c r="E53" s="23">
        <f>SUBTOTAL(109,Vets_ProjectTypeHmisParticipation[Total Year-Round Beds])</f>
        <v>104</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qoAJW5CiDyyJbN0w6/IfJZvq1+ksRQJxXTexMhEwFHrwdCNWsKS8VB5e3/cEDlEM257YjF7paA22sJHN4W2L1Q==" saltValue="zFVrzoJhyBAI6e4yMf/oSg==" spinCount="100000" sheet="1" objects="1" scenarios="1"/>
  <conditionalFormatting sqref="A4:G4">
    <cfRule type="expression" dxfId="12"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FE2A-8DB3-44D0-A3FD-05FE1C194A8D}">
  <sheetPr codeName="Sheet16"/>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10" width="9.109375" style="33" hidden="1" customWidth="1"/>
    <col min="11" max="11" width="0" style="33" hidden="1" customWidth="1"/>
    <col min="12" max="12" width="0" style="2" hidden="1" customWidth="1"/>
    <col min="13" max="16384" width="9.109375" style="2" hidden="1"/>
  </cols>
  <sheetData>
    <row r="1" spans="1:9" ht="21" customHeight="1" x14ac:dyDescent="0.3">
      <c r="A1" s="29" t="s">
        <v>112</v>
      </c>
      <c r="B1" s="30"/>
      <c r="C1" s="30"/>
      <c r="D1" s="30"/>
      <c r="E1" s="30"/>
      <c r="F1"/>
      <c r="G1"/>
      <c r="I1" s="33" t="s">
        <v>86</v>
      </c>
    </row>
    <row r="2" spans="1:9" ht="18" customHeight="1" x14ac:dyDescent="0.3">
      <c r="A2" s="31" t="s">
        <v>132</v>
      </c>
      <c r="B2" s="30"/>
      <c r="C2" s="30"/>
      <c r="D2" s="30"/>
      <c r="E2" s="30"/>
      <c r="F2"/>
      <c r="G2"/>
      <c r="I2" s="33" t="s">
        <v>111</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F5"/>
      <c r="G5"/>
      <c r="H5" s="34"/>
    </row>
    <row r="6" spans="1:9" ht="72" customHeight="1" x14ac:dyDescent="0.3">
      <c r="A6" s="18" t="s">
        <v>102</v>
      </c>
      <c r="B6" s="18" t="s">
        <v>96</v>
      </c>
      <c r="C6" s="18" t="s">
        <v>97</v>
      </c>
      <c r="D6" s="18" t="s">
        <v>98</v>
      </c>
      <c r="E6" s="18" t="s">
        <v>99</v>
      </c>
      <c r="F6"/>
      <c r="G6"/>
      <c r="I6" s="33" t="s">
        <v>84</v>
      </c>
    </row>
    <row r="7" spans="1:9" ht="17.100000000000001" customHeight="1" x14ac:dyDescent="0.3">
      <c r="A7" s="10" t="s">
        <v>107</v>
      </c>
      <c r="B7" s="20">
        <f>SUMIFS(HicRawData[Youth Beds HH w/o Children],
HicRawData[Project Type],$I$2,
HicRawData[Inventory Type],"C",
HicRawData[HMIS Participating],$I7)</f>
        <v>0</v>
      </c>
      <c r="C7" s="20">
        <f>SUMIFS(HicRawData[Youth Beds HH w/ Children],
HicRawData[Project Type],$I$2,
HicRawData[Inventory Type],"C",
HicRawData[HMIS Participating],$I7)</f>
        <v>0</v>
      </c>
      <c r="D7" s="20">
        <v>0</v>
      </c>
      <c r="E7" s="20">
        <f>SUM(Youth_HmisParticipation[[#This Row],[Households without Children]:[Households with only Children]])</f>
        <v>0</v>
      </c>
      <c r="F7"/>
      <c r="G7"/>
      <c r="I7" s="33" t="s">
        <v>9</v>
      </c>
    </row>
    <row r="8" spans="1:9" ht="17.100000000000001" customHeight="1" x14ac:dyDescent="0.3">
      <c r="A8" s="10" t="s">
        <v>108</v>
      </c>
      <c r="B8" s="20">
        <f>SUMIFS(HicRawData[Youth Beds HH w/o Children],
HicRawData[Project Type],$I$2,
HicRawData[Inventory Type],"C",
HicRawData[HMIS Participating],$I8)</f>
        <v>0</v>
      </c>
      <c r="C8" s="20">
        <f>SUMIFS(HicRawData[Youth Beds HH w/ Children],
HicRawData[Project Type],$I$2,
HicRawData[Inventory Type],"C",
HicRawData[HMIS Participating],$I8)</f>
        <v>0</v>
      </c>
      <c r="D8" s="20">
        <v>0</v>
      </c>
      <c r="E8" s="20">
        <f>SUM(Youth_HmisParticipation[[#This Row],[Households without Children]:[Households with only Children]])</f>
        <v>0</v>
      </c>
      <c r="F8"/>
      <c r="G8"/>
      <c r="I8" s="33" t="s">
        <v>12</v>
      </c>
    </row>
    <row r="9" spans="1:9" ht="17.100000000000001" customHeight="1" x14ac:dyDescent="0.3">
      <c r="A9" s="10" t="s">
        <v>130</v>
      </c>
      <c r="B9" s="20">
        <f>SUMIFS(HicRawData[Youth Beds HH w/o Children],
HicRawData[Project Type],$I$2,
HicRawData[Inventory Type],"C",
HicRawData[HMIS Participating],$I9)</f>
        <v>0</v>
      </c>
      <c r="C9" s="20">
        <f>SUMIFS(HicRawData[Youth Beds HH w/ Children],
HicRawData[Project Type],$I$2,
HicRawData[Inventory Type],"C",
HicRawData[HMIS Participating],$I9)</f>
        <v>0</v>
      </c>
      <c r="D9" s="20">
        <v>0</v>
      </c>
      <c r="E9" s="20">
        <f>SUM(Youth_HmisParticipation[[#This Row],[Households without Children]:[Households with only Children]])</f>
        <v>0</v>
      </c>
      <c r="F9"/>
      <c r="G9"/>
      <c r="I9" s="33" t="s">
        <v>115</v>
      </c>
    </row>
    <row r="10" spans="1:9" ht="17.100000000000001" customHeight="1" x14ac:dyDescent="0.3">
      <c r="A10" s="2" t="s">
        <v>100</v>
      </c>
      <c r="B10" s="20">
        <f>SUBTOTAL(109,Youth_HmisParticipation[Households without Children])</f>
        <v>0</v>
      </c>
      <c r="C10" s="20">
        <f>SUBTOTAL(109,Youth_HmisParticipation[Households with Children])</f>
        <v>0</v>
      </c>
      <c r="D10" s="20">
        <f>SUBTOTAL(109,Youth_HmisParticipation[Households with only Children])</f>
        <v>0</v>
      </c>
      <c r="E10" s="20">
        <f>SUBTOTAL(109,Youth_HmisParticipation[Total Year-Round Beds])</f>
        <v>0</v>
      </c>
      <c r="F10"/>
      <c r="G10"/>
    </row>
    <row r="11" spans="1:9" ht="15" customHeight="1" x14ac:dyDescent="0.3">
      <c r="A11" s="4" t="s">
        <v>101</v>
      </c>
      <c r="B11" s="21" t="str">
        <f>IF(B7=0,"N/A",B7/Youth_HmisParticipation[[#Totals],[Households without Children]])</f>
        <v>N/A</v>
      </c>
      <c r="C11" s="21" t="str">
        <f>IF(C7=0,"N/A",C7/Youth_HmisParticipation[[#Totals],[Households with Children]])</f>
        <v>N/A</v>
      </c>
      <c r="D11" s="21" t="str">
        <f>IF(D7=0,"N/A",D7/Youth_HmisParticipation[[#Totals],[Households with only Children]])</f>
        <v>N/A</v>
      </c>
      <c r="E11" s="21" t="str">
        <f>IF(E7=0,"N/A",E7/Youth_HmisParticipation[[#Totals],[Total Year-Round Beds]])</f>
        <v>N/A</v>
      </c>
      <c r="F11"/>
      <c r="G11"/>
    </row>
    <row r="12" spans="1:9" ht="15" customHeight="1" x14ac:dyDescent="0.3">
      <c r="A12" s="4"/>
      <c r="B12" s="5"/>
      <c r="C12" s="5"/>
      <c r="D12" s="5"/>
      <c r="E12" s="5"/>
      <c r="F12"/>
      <c r="G12"/>
    </row>
    <row r="13" spans="1:9" ht="72" customHeight="1" x14ac:dyDescent="0.3">
      <c r="A13" s="17" t="s">
        <v>127</v>
      </c>
      <c r="B13" s="17" t="s">
        <v>96</v>
      </c>
      <c r="C13" s="17" t="s">
        <v>97</v>
      </c>
      <c r="D13" s="17" t="s">
        <v>98</v>
      </c>
      <c r="E13" s="17" t="s">
        <v>99</v>
      </c>
      <c r="F13"/>
      <c r="G13"/>
      <c r="I13" s="33" t="s">
        <v>84</v>
      </c>
    </row>
    <row r="14" spans="1:9" ht="17.100000000000001" customHeight="1" x14ac:dyDescent="0.3">
      <c r="A14" s="10" t="s">
        <v>113</v>
      </c>
      <c r="B14" s="20">
        <f>SUMIFS(HicRawData[Youth Beds HH w/o Children],
HicRawData[Project Type],$I$2,
HicRawData[Inventory Type],"C",
HicRawData[HMIS Participating],$I14,
HicRawData[Victim Service Provider],0)</f>
        <v>0</v>
      </c>
      <c r="C14" s="20">
        <f>SUMIFS(HicRawData[Youth Beds HH w/ Children],
HicRawData[Project Type],$I$2,
HicRawData[Inventory Type],"C",
HicRawData[HMIS Participating],$I14,
HicRawData[Victim Service Provider],0)</f>
        <v>0</v>
      </c>
      <c r="D14" s="20">
        <v>0</v>
      </c>
      <c r="E14" s="20">
        <f>SUM(Youth_NonVspHmisParticipation[[#This Row],[Households without Children]:[Households with only Children]])</f>
        <v>0</v>
      </c>
      <c r="F14" s="37"/>
      <c r="G14" s="37"/>
      <c r="I14" s="33" t="s">
        <v>9</v>
      </c>
    </row>
    <row r="15" spans="1:9" ht="17.100000000000001" customHeight="1" x14ac:dyDescent="0.3">
      <c r="A15" s="10" t="s">
        <v>114</v>
      </c>
      <c r="B15" s="20">
        <f>SUMIFS(HicRawData[Youth Beds HH w/o Children],
HicRawData[Project Type],$I$2,
HicRawData[Inventory Type],"C",
HicRawData[HMIS Participating],$I15,
HicRawData[Victim Service Provider],0)</f>
        <v>0</v>
      </c>
      <c r="C15" s="20">
        <f>SUMIFS(HicRawData[Youth Beds HH w/ Children],
HicRawData[Project Type],$I$2,
HicRawData[Inventory Type],"C",
HicRawData[HMIS Participating],$I15,
HicRawData[Victim Service Provider],0)</f>
        <v>0</v>
      </c>
      <c r="D15" s="20">
        <v>0</v>
      </c>
      <c r="E15" s="20">
        <f>SUM(Youth_NonVspHmisParticipation[[#This Row],[Households without Children]:[Households with only Children]])</f>
        <v>0</v>
      </c>
      <c r="F15" s="37"/>
      <c r="G15" s="37"/>
      <c r="I15" s="33" t="s">
        <v>12</v>
      </c>
    </row>
    <row r="16" spans="1:9" ht="17.100000000000001" customHeight="1" x14ac:dyDescent="0.3">
      <c r="A16" s="10" t="s">
        <v>129</v>
      </c>
      <c r="B16" s="20">
        <f>SUMIFS(HicRawData[Youth Beds HH w/o Children],
HicRawData[Project Type],$I$2,
HicRawData[Inventory Type],"C",
HicRawData[HMIS Participating],$I16,
HicRawData[Victim Service Provider],0)</f>
        <v>0</v>
      </c>
      <c r="C16" s="20">
        <f>SUMIFS(HicRawData[Youth Beds HH w/ Children],
HicRawData[Project Type],$I$2,
HicRawData[Inventory Type],"C",
HicRawData[HMIS Participating],$I16,
HicRawData[Victim Service Provider],0)</f>
        <v>0</v>
      </c>
      <c r="D16" s="20">
        <v>0</v>
      </c>
      <c r="E16" s="20">
        <f>SUM(Youth_NonVspHmisParticipation[[#This Row],[Households without Children]:[Households with only Children]])</f>
        <v>0</v>
      </c>
      <c r="F16" s="37"/>
      <c r="G16" s="37"/>
      <c r="I16" s="33" t="s">
        <v>115</v>
      </c>
    </row>
    <row r="17" spans="1:9" ht="17.100000000000001" customHeight="1" x14ac:dyDescent="0.3">
      <c r="A17" s="10" t="s">
        <v>100</v>
      </c>
      <c r="B17" s="22">
        <f>SUBTOTAL(109,Youth_NonVspHmisParticipation[Households without Children])</f>
        <v>0</v>
      </c>
      <c r="C17" s="22">
        <f>SUBTOTAL(109,Youth_NonVspHmisParticipation[Households with Children])</f>
        <v>0</v>
      </c>
      <c r="D17" s="22">
        <f>SUBTOTAL(109,Youth_NonVspHmisParticipation[Households with only Children])</f>
        <v>0</v>
      </c>
      <c r="E17" s="22">
        <f>SUBTOTAL(109,Youth_NonVspHmisParticipation[Total Year-Round Beds])</f>
        <v>0</v>
      </c>
      <c r="F17" s="22"/>
      <c r="G17" s="22"/>
    </row>
    <row r="18" spans="1:9" ht="15" customHeight="1" x14ac:dyDescent="0.3">
      <c r="A18" s="4" t="s">
        <v>128</v>
      </c>
      <c r="B18" s="21" t="str">
        <f>IF(B14=0,"N/A",B14/Youth_NonVspHmisParticipation[[#Totals],[Households without Children]])</f>
        <v>N/A</v>
      </c>
      <c r="C18" s="21" t="str">
        <f>IF(C14=0,"N/A",C14/Youth_NonVspHmisParticipation[[#Totals],[Households with Children]])</f>
        <v>N/A</v>
      </c>
      <c r="D18" s="21" t="str">
        <f>IF(D14=0,"N/A",D14/Youth_NonVspHmisParticipation[[#Totals],[Households with only Children]])</f>
        <v>N/A</v>
      </c>
      <c r="E18" s="21" t="str">
        <f>IF(E14=0,"N/A",E14/Youth_NonVspHmisParticipation[[#Totals],[Total Year-Round Beds]])</f>
        <v>N/A</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34"/>
    </row>
    <row r="21" spans="1:9" ht="17.100000000000001" customHeight="1" x14ac:dyDescent="0.3">
      <c r="A21" s="2" t="s">
        <v>8</v>
      </c>
      <c r="B21" s="24">
        <f>SUMIFS(HicRawData[Youth Beds HH w/o Children],
HicRawData[Project Type],$I$2,
HicRawData[Inventory Type],"C",
HicRawData[Target Population],Youth_TargetPopulation[[#This Row],[Beds by Target Population]])</f>
        <v>0</v>
      </c>
      <c r="C21" s="24">
        <f>SUMIFS(HicRawData[Youth Beds HH w/ Children],
HicRawData[Project Type],$I$2,
HicRawData[Inventory Type],"C",
HicRawData[Target Population],Youth_TargetPopulation[[#This Row],[Beds by Target Population]])</f>
        <v>0</v>
      </c>
      <c r="D21" s="24">
        <v>0</v>
      </c>
      <c r="E21" s="24">
        <f>SUM(Youth_TargetPopulation[[#This Row],[Households without Children]:[Households with only Children]])</f>
        <v>0</v>
      </c>
    </row>
    <row r="22" spans="1:9" ht="17.100000000000001" customHeight="1" x14ac:dyDescent="0.3">
      <c r="A22" s="2" t="s">
        <v>10</v>
      </c>
      <c r="B22" s="24">
        <f>SUMIFS(HicRawData[Youth Beds HH w/o Children],
HicRawData[Project Type],$I$2,
HicRawData[Inventory Type],"C",
HicRawData[Target Population],Youth_TargetPopulation[[#This Row],[Beds by Target Population]])</f>
        <v>0</v>
      </c>
      <c r="C22" s="24">
        <f>SUMIFS(HicRawData[Youth Beds HH w/ Children],
HicRawData[Project Type],$I$2,
HicRawData[Inventory Type],"C",
HicRawData[Target Population],Youth_TargetPopulation[[#This Row],[Beds by Target Population]])</f>
        <v>0</v>
      </c>
      <c r="D22" s="24">
        <v>0</v>
      </c>
      <c r="E22" s="24">
        <f>SUM(Youth_TargetPopulation[[#This Row],[Households without Children]:[Households with only Children]])</f>
        <v>0</v>
      </c>
    </row>
    <row r="23" spans="1:9" ht="17.100000000000001" customHeight="1" x14ac:dyDescent="0.3">
      <c r="A23" s="2" t="s">
        <v>0</v>
      </c>
      <c r="B23" s="24">
        <f>SUMIFS(HicRawData[Youth Beds HH w/o Children],
HicRawData[Project Type],$I$2,
HicRawData[Inventory Type],"C",
HicRawData[Target Population],Youth_TargetPopulation[[#This Row],[Beds by Target Population]])</f>
        <v>0</v>
      </c>
      <c r="C23" s="24">
        <f>SUMIFS(HicRawData[Youth Beds HH w/ Children],
HicRawData[Project Type],$I$2,
HicRawData[Inventory Type],"C",
HicRawData[Target Population],Youth_TargetPopulation[[#This Row],[Beds by Target Population]])</f>
        <v>0</v>
      </c>
      <c r="D23" s="24">
        <v>0</v>
      </c>
      <c r="E23" s="24">
        <f>SUM(Youth_TargetPopulation[[#This Row],[Households without Children]:[Households with only Children]])</f>
        <v>0</v>
      </c>
    </row>
    <row r="24" spans="1:9" ht="15" customHeight="1" x14ac:dyDescent="0.3">
      <c r="A24" s="2" t="s">
        <v>100</v>
      </c>
      <c r="B24" s="25">
        <f>SUBTOTAL(109,Youth_TargetPopulation[Households without Children])</f>
        <v>0</v>
      </c>
      <c r="C24" s="25">
        <f>SUBTOTAL(109,Youth_TargetPopulation[Households with Children])</f>
        <v>0</v>
      </c>
      <c r="D24" s="25">
        <f>SUBTOTAL(109,Youth_TargetPopulation[Households with only Children])</f>
        <v>0</v>
      </c>
      <c r="E24" s="25">
        <f>SUBTOTAL(109,Youth_TargetPopulation[Total Year-Round Beds])</f>
        <v>0</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SUMIFS(HicRawData[Youth Beds HH w/o Children],
HicRawData[Project Type],$I$2,
HicRawData[Inventory Type],$I27)</f>
        <v>0</v>
      </c>
      <c r="C27" s="24">
        <f>SUMIFS(HicRawData[Youth Beds HH w/ Children],
HicRawData[Project Type],$I$2,
HicRawData[Inventory Type],$I27)</f>
        <v>0</v>
      </c>
      <c r="D27" s="24">
        <v>0</v>
      </c>
      <c r="E27" s="24">
        <f>SUM(Youth_InventoryType[[#This Row],[Households without Children]:[Households with only Children]])</f>
        <v>0</v>
      </c>
      <c r="I27" s="33" t="s">
        <v>1</v>
      </c>
    </row>
    <row r="28" spans="1:9" ht="17.100000000000001" customHeight="1" x14ac:dyDescent="0.3">
      <c r="A28" s="2" t="s">
        <v>106</v>
      </c>
      <c r="B28" s="24">
        <f>SUMIFS(HicRawData[Youth Beds HH w/o Children],
HicRawData[Project Type],$I$2,
HicRawData[Inventory Type],$I28)</f>
        <v>0</v>
      </c>
      <c r="C28" s="24">
        <f>SUMIFS(HicRawData[Youth Beds HH w/ Children],
HicRawData[Project Type],$I$2,
HicRawData[Inventory Type],$I28)</f>
        <v>0</v>
      </c>
      <c r="D28" s="24">
        <v>0</v>
      </c>
      <c r="E28" s="24">
        <f>SUM(Youth_InventoryType[[#This Row],[Households without Children]:[Households with only Children]])</f>
        <v>0</v>
      </c>
      <c r="I28" s="33" t="s">
        <v>6</v>
      </c>
    </row>
    <row r="29" spans="1:9" ht="15" customHeight="1" x14ac:dyDescent="0.3">
      <c r="A29" s="2" t="s">
        <v>100</v>
      </c>
      <c r="B29" s="25">
        <f>SUBTOTAL(109,Youth_InventoryType[Households without Children])</f>
        <v>0</v>
      </c>
      <c r="C29" s="25">
        <f>SUBTOTAL(109,Youth_InventoryType[Households with Children])</f>
        <v>0</v>
      </c>
      <c r="D29" s="25">
        <f>SUBTOTAL(109,Youth_InventoryType[Households with only Children])</f>
        <v>0</v>
      </c>
      <c r="E29" s="25">
        <f>SUBTOTAL(109,Youth_InventoryType[Total Year-Round Beds])</f>
        <v>0</v>
      </c>
    </row>
    <row r="30" spans="1:9" ht="15" customHeight="1" x14ac:dyDescent="0.3">
      <c r="B30" s="25"/>
      <c r="C30" s="25"/>
      <c r="D30" s="25"/>
      <c r="E30" s="25"/>
    </row>
    <row r="31" spans="1:9" ht="72" customHeight="1" x14ac:dyDescent="0.3">
      <c r="A31"/>
      <c r="B31"/>
      <c r="C31"/>
      <c r="D31"/>
      <c r="E31"/>
      <c r="F31"/>
      <c r="I31" s="33" t="s">
        <v>84</v>
      </c>
    </row>
    <row r="32" spans="1:9" ht="15" customHeight="1" x14ac:dyDescent="0.3">
      <c r="A32"/>
      <c r="B32"/>
      <c r="C32"/>
      <c r="D32"/>
      <c r="E32"/>
      <c r="F32"/>
      <c r="I32" s="33" t="s">
        <v>9</v>
      </c>
    </row>
    <row r="33" spans="1:12" ht="15" customHeight="1" x14ac:dyDescent="0.3">
      <c r="A33"/>
      <c r="B33"/>
      <c r="C33"/>
      <c r="D33"/>
      <c r="E33"/>
      <c r="F33"/>
      <c r="I33" s="33" t="s">
        <v>12</v>
      </c>
    </row>
    <row r="34" spans="1:12" ht="15" customHeight="1" x14ac:dyDescent="0.3">
      <c r="A34"/>
      <c r="B34"/>
      <c r="C34"/>
      <c r="D34"/>
      <c r="E34"/>
      <c r="F34"/>
      <c r="I34" s="33" t="s">
        <v>115</v>
      </c>
    </row>
    <row r="35" spans="1:12" ht="15" customHeight="1" x14ac:dyDescent="0.3">
      <c r="A35"/>
      <c r="B35"/>
      <c r="C35"/>
      <c r="D35"/>
      <c r="E35"/>
      <c r="F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SUMIFS(HicRawData[Youth Beds HH w/o Children],
HicRawData[Project Type],$I$2,
HicRawData[Inventory Type],"C",
HicRawData[Project Type], Youth_ProjectType[[#This Row],[All Beds by Project Type]])</f>
        <v>0</v>
      </c>
      <c r="C38" s="24">
        <f>SUMIFS(HicRawData[Youth Beds HH w/ Children],
HicRawData[Project Type],$I$2,
HicRawData[Inventory Type],"C",
HicRawData[Project Type], Youth_ProjectType[[#This Row],[All Beds by Project Type]])</f>
        <v>0</v>
      </c>
      <c r="D38" s="24">
        <v>0</v>
      </c>
      <c r="E38" s="24">
        <f>SUM(Youth_ProjectType[[#This Row],[Households without Children]:[Households with only Children]])</f>
        <v>0</v>
      </c>
    </row>
    <row r="39" spans="1:12" ht="17.100000000000001" customHeight="1" x14ac:dyDescent="0.3">
      <c r="A39" s="2" t="s">
        <v>2</v>
      </c>
      <c r="B39" s="24">
        <f>SUMIFS(HicRawData[Youth Beds HH w/o Children],
HicRawData[Project Type],$I$2,
HicRawData[Inventory Type],"C",
HicRawData[Project Type], Youth_ProjectType[[#This Row],[All Beds by Project Type]])</f>
        <v>0</v>
      </c>
      <c r="C39" s="24">
        <f>SUMIFS(HicRawData[Youth Beds HH w/ Children],
HicRawData[Project Type],$I$2,
HicRawData[Inventory Type],"C",
HicRawData[Project Type], Youth_ProjectType[[#This Row],[All Beds by Project Type]])</f>
        <v>0</v>
      </c>
      <c r="D39" s="24">
        <v>0</v>
      </c>
      <c r="E39" s="24">
        <f>SUM(Youth_ProjectType[[#This Row],[Households without Children]:[Households with only Children]])</f>
        <v>0</v>
      </c>
      <c r="H39" s="35"/>
    </row>
    <row r="40" spans="1:12" ht="17.100000000000001" customHeight="1" x14ac:dyDescent="0.3">
      <c r="A40" s="2" t="s">
        <v>11</v>
      </c>
      <c r="B40" s="24">
        <f>SUMIFS(HicRawData[Youth Beds HH w/o Children],
HicRawData[Project Type],$I$2,
HicRawData[Inventory Type],"C",
HicRawData[Project Type], Youth_ProjectType[[#This Row],[All Beds by Project Type]])</f>
        <v>0</v>
      </c>
      <c r="C40" s="24">
        <f>SUMIFS(HicRawData[Youth Beds HH w/ Children],
HicRawData[Project Type],$I$2,
HicRawData[Inventory Type],"C",
HicRawData[Project Type], Youth_ProjectType[[#This Row],[All Beds by Project Type]])</f>
        <v>0</v>
      </c>
      <c r="D40" s="24">
        <v>0</v>
      </c>
      <c r="E40" s="24">
        <f>SUM(Youth_ProjectType[[#This Row],[Households without Children]:[Households with only Children]])</f>
        <v>0</v>
      </c>
      <c r="H40" s="35"/>
    </row>
    <row r="41" spans="1:12" ht="17.100000000000001" customHeight="1" x14ac:dyDescent="0.3">
      <c r="A41" s="2" t="s">
        <v>4</v>
      </c>
      <c r="B41" s="24">
        <f>SUMIFS(HicRawData[Youth Beds HH w/o Children],
HicRawData[Project Type],$I$2,
HicRawData[Inventory Type],"C",
HicRawData[Project Type], Youth_ProjectType[[#This Row],[All Beds by Project Type]])</f>
        <v>0</v>
      </c>
      <c r="C41" s="24">
        <f>SUMIFS(HicRawData[Youth Beds HH w/ Children],
HicRawData[Project Type],$I$2,
HicRawData[Inventory Type],"C",
HicRawData[Project Type], Youth_ProjectType[[#This Row],[All Beds by Project Type]])</f>
        <v>0</v>
      </c>
      <c r="D41" s="24">
        <v>0</v>
      </c>
      <c r="E41" s="24">
        <f>SUM(Youth_ProjectType[[#This Row],[Households without Children]:[Households with only Children]])</f>
        <v>0</v>
      </c>
    </row>
    <row r="42" spans="1:12" ht="17.100000000000001" customHeight="1" x14ac:dyDescent="0.3">
      <c r="A42" s="2" t="s">
        <v>5</v>
      </c>
      <c r="B42" s="24">
        <f>SUMIFS(HicRawData[Youth Beds HH w/o Children],
HicRawData[Project Type],$I$2,
HicRawData[Inventory Type],"C",
HicRawData[Project Type], Youth_ProjectType[[#This Row],[All Beds by Project Type]])</f>
        <v>0</v>
      </c>
      <c r="C42" s="24">
        <f>SUMIFS(HicRawData[Youth Beds HH w/ Children],
HicRawData[Project Type],$I$2,
HicRawData[Inventory Type],"C",
HicRawData[Project Type], Youth_ProjectType[[#This Row],[All Beds by Project Type]])</f>
        <v>0</v>
      </c>
      <c r="D42" s="24">
        <v>0</v>
      </c>
      <c r="E42" s="24">
        <f>SUM(Youth_ProjectType[[#This Row],[Households without Children]:[Households with only Children]])</f>
        <v>0</v>
      </c>
    </row>
    <row r="43" spans="1:12" ht="17.100000000000001" customHeight="1" x14ac:dyDescent="0.3">
      <c r="A43" s="2" t="s">
        <v>7</v>
      </c>
      <c r="B43" s="24">
        <f>SUMIFS(HicRawData[Youth Beds HH w/o Children],
HicRawData[Project Type],$I$2,
HicRawData[Inventory Type],"C",
HicRawData[Project Type], Youth_ProjectType[[#This Row],[All Beds by Project Type]])</f>
        <v>0</v>
      </c>
      <c r="C43" s="24">
        <f>SUMIFS(HicRawData[Youth Beds HH w/ Children],
HicRawData[Project Type],$I$2,
HicRawData[Inventory Type],"C",
HicRawData[Project Type], Youth_ProjectType[[#This Row],[All Beds by Project Type]])</f>
        <v>0</v>
      </c>
      <c r="D43" s="24">
        <v>0</v>
      </c>
      <c r="E43" s="24">
        <f>SUM(Youth_ProjectType[[#This Row],[Households without Children]:[Households with only Children]])</f>
        <v>0</v>
      </c>
    </row>
    <row r="44" spans="1:12" ht="15" customHeight="1" x14ac:dyDescent="0.3">
      <c r="A44" s="2" t="s">
        <v>100</v>
      </c>
      <c r="B44" s="25">
        <f>SUBTOTAL(109,Youth_ProjectType[Households without Children])</f>
        <v>0</v>
      </c>
      <c r="C44" s="25">
        <f>SUBTOTAL(109,Youth_ProjectType[Households with Children])</f>
        <v>0</v>
      </c>
      <c r="D44" s="25">
        <f>SUBTOTAL(109,Youth_ProjectType[Households with only Children])</f>
        <v>0</v>
      </c>
      <c r="E44" s="25">
        <f>SUBTOTAL(109,Youth_ProjectType[Total Year-Round Beds])</f>
        <v>0</v>
      </c>
    </row>
    <row r="45" spans="1:12" ht="15" customHeight="1" x14ac:dyDescent="0.3">
      <c r="B45" s="25"/>
      <c r="C45" s="25"/>
      <c r="D45" s="25"/>
      <c r="E45" s="25"/>
    </row>
    <row r="46" spans="1:12" ht="72" customHeight="1" x14ac:dyDescent="0.3">
      <c r="A46" s="18" t="s">
        <v>125</v>
      </c>
      <c r="B46" s="18" t="s">
        <v>96</v>
      </c>
      <c r="C46" s="18" t="s">
        <v>97</v>
      </c>
      <c r="D46" s="18" t="s">
        <v>98</v>
      </c>
      <c r="E46" s="18" t="s">
        <v>99</v>
      </c>
      <c r="J46" s="36"/>
      <c r="K46" s="36"/>
      <c r="L46" s="12"/>
    </row>
    <row r="47" spans="1:12" ht="17.100000000000001" customHeight="1" x14ac:dyDescent="0.3">
      <c r="A47" s="2" t="s">
        <v>3</v>
      </c>
      <c r="B47" s="24">
        <f>SUMIFS(HicRawData[Youth Beds HH w/o Children],
HicRawData[Project Type],$I$2,
HicRawData[Inventory Type],"C",
HicRawData[Project Type], Youth_ProjectTypeHmisParticipation[[#This Row],[HMIS Beds by Project Type]],
HicRawData[HMIS Participating], "Yes")</f>
        <v>0</v>
      </c>
      <c r="C47" s="24">
        <f>SUMIFS(HicRawData[Youth Beds HH w/ Children],
HicRawData[Project Type],$I$2,
HicRawData[Inventory Type],"C",
HicRawData[Project Type], Youth_ProjectTypeHmisParticipation[[#This Row],[HMIS Beds by Project Type]],
HicRawData[HMIS Participating], "Yes")</f>
        <v>0</v>
      </c>
      <c r="D47" s="24">
        <v>0</v>
      </c>
      <c r="E47" s="23">
        <f>B47+C47+D47</f>
        <v>0</v>
      </c>
    </row>
    <row r="48" spans="1:12" ht="17.100000000000001" customHeight="1" x14ac:dyDescent="0.3">
      <c r="A48" s="2" t="s">
        <v>2</v>
      </c>
      <c r="B48" s="23">
        <f>SUMIFS(HicRawData[Youth Beds HH w/o Children],
HicRawData[Project Type],$I$2,
HicRawData[Inventory Type],"C",
HicRawData[Project Type], Youth_ProjectTypeHmisParticipation[[#This Row],[HMIS Beds by Project Type]],
HicRawData[HMIS Participating], "Yes")</f>
        <v>0</v>
      </c>
      <c r="C48" s="23">
        <f>SUMIFS(HicRawData[Youth Beds HH w/ Children],
HicRawData[Project Type],$I$2,
HicRawData[Inventory Type],"C",
HicRawData[Project Type], Youth_ProjectTypeHmisParticipation[[#This Row],[HMIS Beds by Project Type]],
HicRawData[HMIS Participating], "Yes")</f>
        <v>0</v>
      </c>
      <c r="D48" s="23">
        <v>0</v>
      </c>
      <c r="E48" s="23">
        <f t="shared" ref="E48:E52" si="0">B48+C48+D48</f>
        <v>0</v>
      </c>
    </row>
    <row r="49" spans="1:5" ht="17.100000000000001" customHeight="1" x14ac:dyDescent="0.3">
      <c r="A49" s="2" t="s">
        <v>11</v>
      </c>
      <c r="B49" s="23">
        <f>SUMIFS(HicRawData[Youth Beds HH w/o Children],
HicRawData[Project Type],$I$2,
HicRawData[Inventory Type],"C",
HicRawData[Project Type], Youth_ProjectTypeHmisParticipation[[#This Row],[HMIS Beds by Project Type]],
HicRawData[HMIS Participating], "Yes")</f>
        <v>0</v>
      </c>
      <c r="C49" s="23">
        <f>SUMIFS(HicRawData[Youth Beds HH w/ Children],
HicRawData[Project Type],$I$2,
HicRawData[Inventory Type],"C",
HicRawData[Project Type], Youth_ProjectTypeHmisParticipation[[#This Row],[HMIS Beds by Project Type]],
HicRawData[HMIS Participating], "Yes")</f>
        <v>0</v>
      </c>
      <c r="D49" s="23">
        <v>0</v>
      </c>
      <c r="E49" s="23">
        <f t="shared" si="0"/>
        <v>0</v>
      </c>
    </row>
    <row r="50" spans="1:5" ht="17.100000000000001" customHeight="1" x14ac:dyDescent="0.3">
      <c r="A50" s="2" t="s">
        <v>4</v>
      </c>
      <c r="B50" s="23">
        <f>SUMIFS(HicRawData[Youth Beds HH w/o Children],
HicRawData[Project Type],$I$2,
HicRawData[Inventory Type],"C",
HicRawData[Project Type], Youth_ProjectTypeHmisParticipation[[#This Row],[HMIS Beds by Project Type]],
HicRawData[HMIS Participating], "Yes")</f>
        <v>0</v>
      </c>
      <c r="C50" s="23">
        <f>SUMIFS(HicRawData[Youth Beds HH w/ Children],
HicRawData[Project Type],$I$2,
HicRawData[Inventory Type],"C",
HicRawData[Project Type], Youth_ProjectTypeHmisParticipation[[#This Row],[HMIS Beds by Project Type]],
HicRawData[HMIS Participating], "Yes")</f>
        <v>0</v>
      </c>
      <c r="D50" s="23">
        <v>0</v>
      </c>
      <c r="E50" s="23">
        <f t="shared" si="0"/>
        <v>0</v>
      </c>
    </row>
    <row r="51" spans="1:5" ht="17.100000000000001" customHeight="1" x14ac:dyDescent="0.3">
      <c r="A51" s="2" t="s">
        <v>5</v>
      </c>
      <c r="B51" s="23">
        <f>SUMIFS(HicRawData[Youth Beds HH w/o Children],
HicRawData[Project Type],$I$2,
HicRawData[Inventory Type],"C",
HicRawData[Project Type], Youth_ProjectTypeHmisParticipation[[#This Row],[HMIS Beds by Project Type]],
HicRawData[HMIS Participating], "Yes")</f>
        <v>0</v>
      </c>
      <c r="C51" s="23">
        <f>SUMIFS(HicRawData[Youth Beds HH w/ Children],
HicRawData[Project Type],$I$2,
HicRawData[Inventory Type],"C",
HicRawData[Project Type], Youth_ProjectTypeHmisParticipation[[#This Row],[HMIS Beds by Project Type]],
HicRawData[HMIS Participating], "Yes")</f>
        <v>0</v>
      </c>
      <c r="D51" s="23">
        <v>0</v>
      </c>
      <c r="E51" s="23">
        <f t="shared" si="0"/>
        <v>0</v>
      </c>
    </row>
    <row r="52" spans="1:5" ht="17.100000000000001" customHeight="1" x14ac:dyDescent="0.3">
      <c r="A52" s="2" t="s">
        <v>7</v>
      </c>
      <c r="B52" s="23">
        <f>SUMIFS(HicRawData[Youth Beds HH w/o Children],
HicRawData[Project Type],$I$2,
HicRawData[Inventory Type],"C",
HicRawData[Project Type], Youth_ProjectTypeHmisParticipation[[#This Row],[HMIS Beds by Project Type]],
HicRawData[HMIS Participating], "Yes")</f>
        <v>0</v>
      </c>
      <c r="C52" s="23">
        <f>SUMIFS(HicRawData[Youth Beds HH w/ Children],
HicRawData[Project Type],$I$2,
HicRawData[Inventory Type],"C",
HicRawData[Project Type], Youth_ProjectTypeHmisParticipation[[#This Row],[HMIS Beds by Project Type]],
HicRawData[HMIS Participating], "Yes")</f>
        <v>0</v>
      </c>
      <c r="D52" s="23">
        <v>0</v>
      </c>
      <c r="E52" s="23">
        <f t="shared" si="0"/>
        <v>0</v>
      </c>
    </row>
    <row r="53" spans="1:5" x14ac:dyDescent="0.3">
      <c r="A53" s="2" t="s">
        <v>100</v>
      </c>
      <c r="B53" s="26">
        <f>SUBTOTAL(109,Youth_ProjectTypeHmisParticipation[Households without Children])</f>
        <v>0</v>
      </c>
      <c r="C53" s="26">
        <f>SUBTOTAL(109,Youth_ProjectTypeHmisParticipation[Households with Children])</f>
        <v>0</v>
      </c>
      <c r="D53" s="26">
        <f>SUBTOTAL(109,Youth_ProjectTypeHmisParticipation[Households with only Children])</f>
        <v>0</v>
      </c>
      <c r="E53" s="23">
        <f>SUBTOTAL(109,Youth_ProjectTypeHmisParticipation[Total Year-Round Beds])</f>
        <v>0</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v6lhl8AWoptftZhqvBSbxu0EeXdAy0rGCMiK+FeDpjUg7zQKEGVJh1c5vRpibV/5+jBMXxoODcDyZWpSzGl9SQ==" saltValue="AyMZeL8v5XmFIb3V2x/nyw==" spinCount="100000" sheet="1" objects="1" scenarios="1"/>
  <phoneticPr fontId="23" type="noConversion"/>
  <conditionalFormatting sqref="A4:G4">
    <cfRule type="expression" dxfId="11"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A513F-481C-4764-BA46-2E03A68C613B}">
  <dimension ref="A1:D118"/>
  <sheetViews>
    <sheetView zoomScaleNormal="100" workbookViewId="0"/>
  </sheetViews>
  <sheetFormatPr defaultRowHeight="14.4" x14ac:dyDescent="0.3"/>
  <cols>
    <col min="1" max="1" width="41.5546875" customWidth="1"/>
    <col min="2" max="2" width="32.6640625" customWidth="1"/>
    <col min="3" max="3" width="28.44140625" customWidth="1"/>
    <col min="4" max="4" width="69.44140625" customWidth="1"/>
  </cols>
  <sheetData>
    <row r="1" spans="1:4" x14ac:dyDescent="0.3">
      <c r="A1" t="s">
        <v>93</v>
      </c>
      <c r="B1">
        <f ca="1">INDEX(INDIRECT(_xlfn.CONCAT("HicRawData[",A1,"]")),1,1)</f>
        <v>0</v>
      </c>
    </row>
    <row r="2" spans="1:4" x14ac:dyDescent="0.3">
      <c r="A2" t="s">
        <v>13</v>
      </c>
      <c r="B2">
        <f ca="1">INDEX(INDIRECT(_xlfn.CONCAT("HicRawData[",A2,"]")),1,1)</f>
        <v>0</v>
      </c>
      <c r="D2" s="38" t="str">
        <f ca="1">IF(show_heading_section,CONCATENATE(HudNum,": ",CoC),"")</f>
        <v/>
      </c>
    </row>
    <row r="3" spans="1:4" x14ac:dyDescent="0.3">
      <c r="A3" t="s">
        <v>123</v>
      </c>
      <c r="B3">
        <f ca="1">INDEX(INDIRECT(_xlfn.CONCAT("HicRawData[",A3,"]")),1,1)</f>
        <v>0</v>
      </c>
      <c r="D3" s="38" t="str">
        <f ca="1">IF(show_heading_section,CONCATENATE("HIC Date: ", TEXT(HIC_Date,"DDD m/d/yy")),"PASTE DATA INTO THE 'HicRawData' TAB TO POPULATE THIS TEMPLATE.")</f>
        <v>PASTE DATA INTO THE 'HicRawData' TAB TO POPULATE THIS TEMPLATE.</v>
      </c>
    </row>
    <row r="4" spans="1:4" x14ac:dyDescent="0.3">
      <c r="A4" t="s">
        <v>87</v>
      </c>
      <c r="B4" t="str">
        <f ca="1">TEXT(INDEX(INDIRECT(_xlfn.CONCAT("HicRawData[",A4,"]")),1,1),"m/d/yy")</f>
        <v>1/0/00</v>
      </c>
    </row>
    <row r="6" spans="1:4" x14ac:dyDescent="0.3">
      <c r="B6" s="39"/>
    </row>
    <row r="7" spans="1:4" x14ac:dyDescent="0.3">
      <c r="A7" s="40" t="s">
        <v>150</v>
      </c>
      <c r="B7" t="b">
        <f ca="1">AND(HudNum&lt;&gt;0,CoC&lt;&gt;0,Year&lt;&gt;0,HIC_Date&lt;&gt;0)</f>
        <v>0</v>
      </c>
    </row>
    <row r="11" spans="1:4" x14ac:dyDescent="0.3">
      <c r="A11" t="s">
        <v>134</v>
      </c>
      <c r="B11" t="s">
        <v>153</v>
      </c>
    </row>
    <row r="12" spans="1:4" x14ac:dyDescent="0.3">
      <c r="A12" t="s">
        <v>135</v>
      </c>
      <c r="B12" s="41">
        <v>45756.410416666666</v>
      </c>
    </row>
    <row r="14" spans="1:4" x14ac:dyDescent="0.3">
      <c r="A14" t="s">
        <v>142</v>
      </c>
      <c r="B14">
        <f>COUNTA(_xlfn.UNIQUE(HicRawData[#Headers]))</f>
        <v>94</v>
      </c>
    </row>
    <row r="15" spans="1:4" x14ac:dyDescent="0.3">
      <c r="A15" s="40" t="s">
        <v>144</v>
      </c>
      <c r="B15" t="b">
        <f>B14=94</f>
        <v>1</v>
      </c>
    </row>
    <row r="16" spans="1:4" x14ac:dyDescent="0.3">
      <c r="A16" t="s">
        <v>143</v>
      </c>
      <c r="B16">
        <f>SUM(B25:B118)</f>
        <v>94</v>
      </c>
    </row>
    <row r="17" spans="1:4" x14ac:dyDescent="0.3">
      <c r="A17" s="40" t="s">
        <v>145</v>
      </c>
      <c r="B17" t="b">
        <f>B16=94</f>
        <v>1</v>
      </c>
    </row>
    <row r="18" spans="1:4" x14ac:dyDescent="0.3">
      <c r="A18" t="s">
        <v>146</v>
      </c>
      <c r="B18">
        <f>COUNTA(HicRawData[#Headers])</f>
        <v>94</v>
      </c>
    </row>
    <row r="19" spans="1:4" x14ac:dyDescent="0.3">
      <c r="A19" s="40" t="s">
        <v>147</v>
      </c>
      <c r="B19" t="b">
        <f>B18=94</f>
        <v>1</v>
      </c>
    </row>
    <row r="20" spans="1:4" x14ac:dyDescent="0.3">
      <c r="A20" t="s">
        <v>148</v>
      </c>
      <c r="B20">
        <f>COUNTIF(HicRawData[Row '#],"&lt;&gt;"&amp;"")</f>
        <v>26</v>
      </c>
    </row>
    <row r="21" spans="1:4" x14ac:dyDescent="0.3">
      <c r="A21" s="49" t="s">
        <v>149</v>
      </c>
      <c r="B21" t="b">
        <f>B20&gt;0</f>
        <v>1</v>
      </c>
    </row>
    <row r="24" spans="1:4" x14ac:dyDescent="0.3">
      <c r="A24" s="38" t="s">
        <v>136</v>
      </c>
      <c r="B24" s="38" t="s">
        <v>141</v>
      </c>
    </row>
    <row r="25" spans="1:4" x14ac:dyDescent="0.3">
      <c r="A25" t="s">
        <v>95</v>
      </c>
      <c r="B25">
        <f>COUNTIF(HicRawData[#Headers],A25)</f>
        <v>1</v>
      </c>
      <c r="D25" s="51"/>
    </row>
    <row r="26" spans="1:4" x14ac:dyDescent="0.3">
      <c r="A26" t="s">
        <v>94</v>
      </c>
      <c r="B26">
        <f>COUNTIF(HicRawData[#Headers],A26)</f>
        <v>1</v>
      </c>
      <c r="D26" s="51"/>
    </row>
    <row r="27" spans="1:4" x14ac:dyDescent="0.3">
      <c r="A27" t="s">
        <v>13</v>
      </c>
      <c r="B27">
        <f>COUNTIF(HicRawData[#Headers],A27)</f>
        <v>1</v>
      </c>
      <c r="D27" s="51"/>
    </row>
    <row r="28" spans="1:4" x14ac:dyDescent="0.3">
      <c r="A28" t="s">
        <v>93</v>
      </c>
      <c r="B28">
        <f>COUNTIF(HicRawData[#Headers],A28)</f>
        <v>1</v>
      </c>
      <c r="D28" s="51"/>
    </row>
    <row r="29" spans="1:4" x14ac:dyDescent="0.3">
      <c r="A29" t="s">
        <v>92</v>
      </c>
      <c r="B29">
        <f>COUNTIF(HicRawData[#Headers],A29)</f>
        <v>1</v>
      </c>
      <c r="D29" s="51"/>
    </row>
    <row r="30" spans="1:4" x14ac:dyDescent="0.3">
      <c r="A30" t="s">
        <v>123</v>
      </c>
      <c r="B30">
        <f>COUNTIF(HicRawData[#Headers],A30)</f>
        <v>1</v>
      </c>
      <c r="D30" s="51"/>
    </row>
    <row r="31" spans="1:4" x14ac:dyDescent="0.3">
      <c r="A31" t="s">
        <v>91</v>
      </c>
      <c r="B31">
        <f>COUNTIF(HicRawData[#Headers],A31)</f>
        <v>1</v>
      </c>
      <c r="D31" s="51"/>
    </row>
    <row r="32" spans="1:4" x14ac:dyDescent="0.3">
      <c r="A32" t="s">
        <v>90</v>
      </c>
      <c r="B32">
        <f>COUNTIF(HicRawData[#Headers],A32)</f>
        <v>1</v>
      </c>
      <c r="D32" s="51"/>
    </row>
    <row r="33" spans="1:4" x14ac:dyDescent="0.3">
      <c r="A33" t="s">
        <v>89</v>
      </c>
      <c r="B33">
        <f>COUNTIF(HicRawData[#Headers],A33)</f>
        <v>1</v>
      </c>
      <c r="D33" s="51"/>
    </row>
    <row r="34" spans="1:4" x14ac:dyDescent="0.3">
      <c r="A34" t="s">
        <v>137</v>
      </c>
      <c r="B34">
        <f>COUNTIF(HicRawData[#Headers],A34)</f>
        <v>1</v>
      </c>
      <c r="D34" s="51"/>
    </row>
    <row r="35" spans="1:4" x14ac:dyDescent="0.3">
      <c r="A35" t="s">
        <v>88</v>
      </c>
      <c r="B35">
        <f>COUNTIF(HicRawData[#Headers],A35)</f>
        <v>1</v>
      </c>
      <c r="D35" s="51"/>
    </row>
    <row r="36" spans="1:4" x14ac:dyDescent="0.3">
      <c r="A36" t="s">
        <v>87</v>
      </c>
      <c r="B36">
        <f>COUNTIF(HicRawData[#Headers],A36)</f>
        <v>1</v>
      </c>
      <c r="D36" s="51"/>
    </row>
    <row r="37" spans="1:4" x14ac:dyDescent="0.3">
      <c r="A37" t="s">
        <v>86</v>
      </c>
      <c r="B37">
        <f>COUNTIF(HicRawData[#Headers],A37)</f>
        <v>1</v>
      </c>
      <c r="D37" s="51"/>
    </row>
    <row r="38" spans="1:4" x14ac:dyDescent="0.3">
      <c r="A38" t="s">
        <v>85</v>
      </c>
      <c r="B38">
        <f>COUNTIF(HicRawData[#Headers],A38)</f>
        <v>1</v>
      </c>
      <c r="D38" s="51"/>
    </row>
    <row r="39" spans="1:4" x14ac:dyDescent="0.3">
      <c r="A39" t="s">
        <v>122</v>
      </c>
      <c r="B39">
        <f>COUNTIF(HicRawData[#Headers],A39)</f>
        <v>1</v>
      </c>
      <c r="D39" s="51"/>
    </row>
    <row r="40" spans="1:4" x14ac:dyDescent="0.3">
      <c r="A40" t="s">
        <v>84</v>
      </c>
      <c r="B40">
        <f>COUNTIF(HicRawData[#Headers],A40)</f>
        <v>1</v>
      </c>
      <c r="D40" s="51"/>
    </row>
    <row r="41" spans="1:4" x14ac:dyDescent="0.3">
      <c r="A41" t="s">
        <v>83</v>
      </c>
      <c r="B41">
        <f>COUNTIF(HicRawData[#Headers],A41)</f>
        <v>1</v>
      </c>
      <c r="D41" s="51"/>
    </row>
    <row r="42" spans="1:4" x14ac:dyDescent="0.3">
      <c r="A42" t="s">
        <v>121</v>
      </c>
      <c r="B42">
        <f>COUNTIF(HicRawData[#Headers],A42)</f>
        <v>1</v>
      </c>
      <c r="D42" s="51"/>
    </row>
    <row r="43" spans="1:4" x14ac:dyDescent="0.3">
      <c r="A43" t="s">
        <v>82</v>
      </c>
      <c r="B43">
        <f>COUNTIF(HicRawData[#Headers],A43)</f>
        <v>1</v>
      </c>
      <c r="D43" s="51"/>
    </row>
    <row r="44" spans="1:4" x14ac:dyDescent="0.3">
      <c r="A44" t="s">
        <v>151</v>
      </c>
      <c r="B44">
        <f>COUNTIF(HicRawData[#Headers],A44)</f>
        <v>1</v>
      </c>
      <c r="D44" s="51"/>
    </row>
    <row r="45" spans="1:4" x14ac:dyDescent="0.3">
      <c r="A45" t="s">
        <v>152</v>
      </c>
      <c r="B45">
        <f>COUNTIF(HicRawData[#Headers],A45)</f>
        <v>1</v>
      </c>
      <c r="D45" s="51"/>
    </row>
    <row r="46" spans="1:4" x14ac:dyDescent="0.3">
      <c r="A46" t="s">
        <v>81</v>
      </c>
      <c r="B46">
        <f>COUNTIF(HicRawData[#Headers],A46)</f>
        <v>1</v>
      </c>
      <c r="D46" s="51"/>
    </row>
    <row r="47" spans="1:4" x14ac:dyDescent="0.3">
      <c r="A47" t="s">
        <v>80</v>
      </c>
      <c r="B47">
        <f>COUNTIF(HicRawData[#Headers],A47)</f>
        <v>1</v>
      </c>
      <c r="D47" s="51"/>
    </row>
    <row r="48" spans="1:4" x14ac:dyDescent="0.3">
      <c r="A48" t="s">
        <v>79</v>
      </c>
      <c r="B48">
        <f>COUNTIF(HicRawData[#Headers],A48)</f>
        <v>1</v>
      </c>
      <c r="D48" s="51"/>
    </row>
    <row r="49" spans="1:4" x14ac:dyDescent="0.3">
      <c r="A49" t="s">
        <v>120</v>
      </c>
      <c r="B49">
        <f>COUNTIF(HicRawData[#Headers],A49)</f>
        <v>1</v>
      </c>
      <c r="D49" s="51"/>
    </row>
    <row r="50" spans="1:4" x14ac:dyDescent="0.3">
      <c r="A50" t="s">
        <v>78</v>
      </c>
      <c r="B50">
        <f>COUNTIF(HicRawData[#Headers],A50)</f>
        <v>1</v>
      </c>
      <c r="D50" s="51"/>
    </row>
    <row r="51" spans="1:4" x14ac:dyDescent="0.3">
      <c r="A51" t="s">
        <v>77</v>
      </c>
      <c r="B51">
        <f>COUNTIF(HicRawData[#Headers],A51)</f>
        <v>1</v>
      </c>
      <c r="D51" s="51"/>
    </row>
    <row r="52" spans="1:4" x14ac:dyDescent="0.3">
      <c r="A52" t="s">
        <v>76</v>
      </c>
      <c r="B52">
        <f>COUNTIF(HicRawData[#Headers],A52)</f>
        <v>1</v>
      </c>
      <c r="D52" s="51"/>
    </row>
    <row r="53" spans="1:4" x14ac:dyDescent="0.3">
      <c r="A53" t="s">
        <v>75</v>
      </c>
      <c r="B53">
        <f>COUNTIF(HicRawData[#Headers],A53)</f>
        <v>1</v>
      </c>
      <c r="D53" s="51"/>
    </row>
    <row r="54" spans="1:4" x14ac:dyDescent="0.3">
      <c r="A54" t="s">
        <v>74</v>
      </c>
      <c r="B54">
        <f>COUNTIF(HicRawData[#Headers],A54)</f>
        <v>1</v>
      </c>
      <c r="D54" s="51"/>
    </row>
    <row r="55" spans="1:4" x14ac:dyDescent="0.3">
      <c r="A55" t="s">
        <v>73</v>
      </c>
      <c r="B55">
        <f>COUNTIF(HicRawData[#Headers],A55)</f>
        <v>1</v>
      </c>
      <c r="D55" s="51"/>
    </row>
    <row r="56" spans="1:4" x14ac:dyDescent="0.3">
      <c r="A56" t="s">
        <v>72</v>
      </c>
      <c r="B56">
        <f>COUNTIF(HicRawData[#Headers],A56)</f>
        <v>1</v>
      </c>
      <c r="D56" s="51"/>
    </row>
    <row r="57" spans="1:4" x14ac:dyDescent="0.3">
      <c r="A57" t="s">
        <v>71</v>
      </c>
      <c r="B57">
        <f>COUNTIF(HicRawData[#Headers],A57)</f>
        <v>1</v>
      </c>
      <c r="D57" s="51"/>
    </row>
    <row r="58" spans="1:4" x14ac:dyDescent="0.3">
      <c r="A58" t="s">
        <v>70</v>
      </c>
      <c r="B58">
        <f>COUNTIF(HicRawData[#Headers],A58)</f>
        <v>1</v>
      </c>
      <c r="D58" s="51"/>
    </row>
    <row r="59" spans="1:4" x14ac:dyDescent="0.3">
      <c r="A59" t="s">
        <v>69</v>
      </c>
      <c r="B59">
        <f>COUNTIF(HicRawData[#Headers],A59)</f>
        <v>1</v>
      </c>
      <c r="D59" s="51"/>
    </row>
    <row r="60" spans="1:4" x14ac:dyDescent="0.3">
      <c r="A60" t="s">
        <v>68</v>
      </c>
      <c r="B60">
        <f>COUNTIF(HicRawData[#Headers],A60)</f>
        <v>1</v>
      </c>
      <c r="D60" s="51"/>
    </row>
    <row r="61" spans="1:4" x14ac:dyDescent="0.3">
      <c r="A61" t="s">
        <v>119</v>
      </c>
      <c r="B61">
        <f>COUNTIF(HicRawData[#Headers],A61)</f>
        <v>1</v>
      </c>
      <c r="D61" s="51"/>
    </row>
    <row r="62" spans="1:4" x14ac:dyDescent="0.3">
      <c r="A62" t="s">
        <v>118</v>
      </c>
      <c r="B62">
        <f>COUNTIF(HicRawData[#Headers],A62)</f>
        <v>1</v>
      </c>
      <c r="D62" s="51"/>
    </row>
    <row r="63" spans="1:4" x14ac:dyDescent="0.3">
      <c r="A63" t="s">
        <v>67</v>
      </c>
      <c r="B63">
        <f>COUNTIF(HicRawData[#Headers],A63)</f>
        <v>1</v>
      </c>
      <c r="D63" s="51"/>
    </row>
    <row r="64" spans="1:4" x14ac:dyDescent="0.3">
      <c r="A64" t="s">
        <v>66</v>
      </c>
      <c r="B64">
        <f>COUNTIF(HicRawData[#Headers],A64)</f>
        <v>1</v>
      </c>
      <c r="D64" s="51"/>
    </row>
    <row r="65" spans="1:4" x14ac:dyDescent="0.3">
      <c r="A65" t="s">
        <v>65</v>
      </c>
      <c r="B65">
        <f>COUNTIF(HicRawData[#Headers],A65)</f>
        <v>1</v>
      </c>
      <c r="D65" s="51"/>
    </row>
    <row r="66" spans="1:4" x14ac:dyDescent="0.3">
      <c r="A66" t="s">
        <v>64</v>
      </c>
      <c r="B66">
        <f>COUNTIF(HicRawData[#Headers],A66)</f>
        <v>1</v>
      </c>
      <c r="D66" s="51"/>
    </row>
    <row r="67" spans="1:4" x14ac:dyDescent="0.3">
      <c r="A67" t="s">
        <v>63</v>
      </c>
      <c r="B67">
        <f>COUNTIF(HicRawData[#Headers],A67)</f>
        <v>1</v>
      </c>
      <c r="D67" s="51"/>
    </row>
    <row r="68" spans="1:4" x14ac:dyDescent="0.3">
      <c r="A68" t="s">
        <v>62</v>
      </c>
      <c r="B68">
        <f>COUNTIF(HicRawData[#Headers],A68)</f>
        <v>1</v>
      </c>
      <c r="D68" s="51"/>
    </row>
    <row r="69" spans="1:4" x14ac:dyDescent="0.3">
      <c r="A69" t="s">
        <v>61</v>
      </c>
      <c r="B69">
        <f>COUNTIF(HicRawData[#Headers],A69)</f>
        <v>1</v>
      </c>
      <c r="D69" s="51"/>
    </row>
    <row r="70" spans="1:4" x14ac:dyDescent="0.3">
      <c r="A70" t="s">
        <v>60</v>
      </c>
      <c r="B70">
        <f>COUNTIF(HicRawData[#Headers],A70)</f>
        <v>1</v>
      </c>
      <c r="D70" s="51"/>
    </row>
    <row r="71" spans="1:4" x14ac:dyDescent="0.3">
      <c r="A71" t="s">
        <v>59</v>
      </c>
      <c r="B71">
        <f>COUNTIF(HicRawData[#Headers],A71)</f>
        <v>1</v>
      </c>
      <c r="D71" s="51"/>
    </row>
    <row r="72" spans="1:4" x14ac:dyDescent="0.3">
      <c r="A72" t="s">
        <v>58</v>
      </c>
      <c r="B72">
        <f>COUNTIF(HicRawData[#Headers],A72)</f>
        <v>1</v>
      </c>
      <c r="D72" s="51"/>
    </row>
    <row r="73" spans="1:4" x14ac:dyDescent="0.3">
      <c r="A73" t="s">
        <v>57</v>
      </c>
      <c r="B73">
        <f>COUNTIF(HicRawData[#Headers],A73)</f>
        <v>1</v>
      </c>
      <c r="D73" s="51"/>
    </row>
    <row r="74" spans="1:4" x14ac:dyDescent="0.3">
      <c r="A74" t="s">
        <v>55</v>
      </c>
      <c r="B74">
        <f>COUNTIF(HicRawData[#Headers],A74)</f>
        <v>1</v>
      </c>
      <c r="D74" s="51"/>
    </row>
    <row r="75" spans="1:4" x14ac:dyDescent="0.3">
      <c r="A75" t="s">
        <v>56</v>
      </c>
      <c r="B75">
        <f>COUNTIF(HicRawData[#Headers],A75)</f>
        <v>1</v>
      </c>
      <c r="D75" s="51"/>
    </row>
    <row r="76" spans="1:4" x14ac:dyDescent="0.3">
      <c r="A76" t="s">
        <v>54</v>
      </c>
      <c r="B76">
        <f>COUNTIF(HicRawData[#Headers],A76)</f>
        <v>1</v>
      </c>
      <c r="D76" s="51"/>
    </row>
    <row r="77" spans="1:4" x14ac:dyDescent="0.3">
      <c r="A77" t="s">
        <v>53</v>
      </c>
      <c r="B77">
        <f>COUNTIF(HicRawData[#Headers],A77)</f>
        <v>1</v>
      </c>
      <c r="D77" s="51"/>
    </row>
    <row r="78" spans="1:4" x14ac:dyDescent="0.3">
      <c r="A78" t="s">
        <v>52</v>
      </c>
      <c r="B78">
        <f>COUNTIF(HicRawData[#Headers],A78)</f>
        <v>1</v>
      </c>
      <c r="D78" s="51"/>
    </row>
    <row r="79" spans="1:4" x14ac:dyDescent="0.3">
      <c r="A79" t="s">
        <v>51</v>
      </c>
      <c r="B79">
        <f>COUNTIF(HicRawData[#Headers],A79)</f>
        <v>1</v>
      </c>
      <c r="D79" s="51"/>
    </row>
    <row r="80" spans="1:4" x14ac:dyDescent="0.3">
      <c r="A80" t="s">
        <v>50</v>
      </c>
      <c r="B80">
        <f>COUNTIF(HicRawData[#Headers],A80)</f>
        <v>1</v>
      </c>
      <c r="D80" s="51"/>
    </row>
    <row r="81" spans="1:4" x14ac:dyDescent="0.3">
      <c r="A81" t="s">
        <v>49</v>
      </c>
      <c r="B81">
        <f>COUNTIF(HicRawData[#Headers],A81)</f>
        <v>1</v>
      </c>
      <c r="D81" s="51"/>
    </row>
    <row r="82" spans="1:4" x14ac:dyDescent="0.3">
      <c r="A82" t="s">
        <v>48</v>
      </c>
      <c r="B82">
        <f>COUNTIF(HicRawData[#Headers],A82)</f>
        <v>1</v>
      </c>
      <c r="D82" s="51"/>
    </row>
    <row r="83" spans="1:4" x14ac:dyDescent="0.3">
      <c r="A83" t="s">
        <v>45</v>
      </c>
      <c r="B83">
        <f>COUNTIF(HicRawData[#Headers],A83)</f>
        <v>1</v>
      </c>
      <c r="D83" s="51"/>
    </row>
    <row r="84" spans="1:4" x14ac:dyDescent="0.3">
      <c r="A84" t="s">
        <v>47</v>
      </c>
      <c r="B84">
        <f>COUNTIF(HicRawData[#Headers],A84)</f>
        <v>1</v>
      </c>
      <c r="D84" s="51"/>
    </row>
    <row r="85" spans="1:4" x14ac:dyDescent="0.3">
      <c r="A85" t="s">
        <v>46</v>
      </c>
      <c r="B85">
        <f>COUNTIF(HicRawData[#Headers],A85)</f>
        <v>1</v>
      </c>
      <c r="D85" s="51"/>
    </row>
    <row r="86" spans="1:4" x14ac:dyDescent="0.3">
      <c r="A86" t="s">
        <v>44</v>
      </c>
      <c r="B86">
        <f>COUNTIF(HicRawData[#Headers],A86)</f>
        <v>1</v>
      </c>
      <c r="D86" s="51"/>
    </row>
    <row r="87" spans="1:4" x14ac:dyDescent="0.3">
      <c r="A87" t="s">
        <v>43</v>
      </c>
      <c r="B87">
        <f>COUNTIF(HicRawData[#Headers],A87)</f>
        <v>1</v>
      </c>
      <c r="D87" s="51"/>
    </row>
    <row r="88" spans="1:4" x14ac:dyDescent="0.3">
      <c r="A88" t="s">
        <v>117</v>
      </c>
      <c r="B88">
        <f>COUNTIF(HicRawData[#Headers],A88)</f>
        <v>1</v>
      </c>
      <c r="D88" s="51"/>
    </row>
    <row r="89" spans="1:4" x14ac:dyDescent="0.3">
      <c r="A89" t="s">
        <v>14</v>
      </c>
      <c r="B89">
        <f>COUNTIF(HicRawData[#Headers],A89)</f>
        <v>1</v>
      </c>
      <c r="D89" s="51"/>
    </row>
    <row r="90" spans="1:4" x14ac:dyDescent="0.3">
      <c r="A90" t="s">
        <v>42</v>
      </c>
      <c r="B90">
        <f>COUNTIF(HicRawData[#Headers],A90)</f>
        <v>1</v>
      </c>
      <c r="D90" s="51"/>
    </row>
    <row r="91" spans="1:4" x14ac:dyDescent="0.3">
      <c r="A91" t="s">
        <v>41</v>
      </c>
      <c r="B91">
        <f>COUNTIF(HicRawData[#Headers],A91)</f>
        <v>1</v>
      </c>
      <c r="D91" s="51"/>
    </row>
    <row r="92" spans="1:4" x14ac:dyDescent="0.3">
      <c r="A92" t="s">
        <v>40</v>
      </c>
      <c r="B92">
        <f>COUNTIF(HicRawData[#Headers],A92)</f>
        <v>1</v>
      </c>
      <c r="D92" s="51"/>
    </row>
    <row r="93" spans="1:4" x14ac:dyDescent="0.3">
      <c r="A93" t="s">
        <v>39</v>
      </c>
      <c r="B93">
        <f>COUNTIF(HicRawData[#Headers],A93)</f>
        <v>1</v>
      </c>
      <c r="D93" s="51"/>
    </row>
    <row r="94" spans="1:4" x14ac:dyDescent="0.3">
      <c r="A94" t="s">
        <v>38</v>
      </c>
      <c r="B94">
        <f>COUNTIF(HicRawData[#Headers],A94)</f>
        <v>1</v>
      </c>
      <c r="D94" s="51"/>
    </row>
    <row r="95" spans="1:4" x14ac:dyDescent="0.3">
      <c r="A95" t="s">
        <v>37</v>
      </c>
      <c r="B95">
        <f>COUNTIF(HicRawData[#Headers],A95)</f>
        <v>1</v>
      </c>
      <c r="D95" s="51"/>
    </row>
    <row r="96" spans="1:4" x14ac:dyDescent="0.3">
      <c r="A96" t="s">
        <v>36</v>
      </c>
      <c r="B96">
        <f>COUNTIF(HicRawData[#Headers],A96)</f>
        <v>1</v>
      </c>
      <c r="D96" s="51"/>
    </row>
    <row r="97" spans="1:4" x14ac:dyDescent="0.3">
      <c r="A97" t="s">
        <v>35</v>
      </c>
      <c r="B97">
        <f>COUNTIF(HicRawData[#Headers],A97)</f>
        <v>1</v>
      </c>
      <c r="D97" s="51"/>
    </row>
    <row r="98" spans="1:4" x14ac:dyDescent="0.3">
      <c r="A98" t="s">
        <v>34</v>
      </c>
      <c r="B98">
        <f>COUNTIF(HicRawData[#Headers],A98)</f>
        <v>1</v>
      </c>
      <c r="D98" s="51"/>
    </row>
    <row r="99" spans="1:4" x14ac:dyDescent="0.3">
      <c r="A99" t="s">
        <v>33</v>
      </c>
      <c r="B99">
        <f>COUNTIF(HicRawData[#Headers],A99)</f>
        <v>1</v>
      </c>
      <c r="D99" s="51"/>
    </row>
    <row r="100" spans="1:4" x14ac:dyDescent="0.3">
      <c r="A100" t="s">
        <v>32</v>
      </c>
      <c r="B100">
        <f>COUNTIF(HicRawData[#Headers],A100)</f>
        <v>1</v>
      </c>
      <c r="D100" s="51"/>
    </row>
    <row r="101" spans="1:4" x14ac:dyDescent="0.3">
      <c r="A101" t="s">
        <v>31</v>
      </c>
      <c r="B101">
        <f>COUNTIF(HicRawData[#Headers],A101)</f>
        <v>1</v>
      </c>
      <c r="D101" s="51"/>
    </row>
    <row r="102" spans="1:4" x14ac:dyDescent="0.3">
      <c r="A102" t="s">
        <v>30</v>
      </c>
      <c r="B102">
        <f>COUNTIF(HicRawData[#Headers],A102)</f>
        <v>1</v>
      </c>
      <c r="D102" s="51"/>
    </row>
    <row r="103" spans="1:4" x14ac:dyDescent="0.3">
      <c r="A103" t="s">
        <v>29</v>
      </c>
      <c r="B103">
        <f>COUNTIF(HicRawData[#Headers],A103)</f>
        <v>1</v>
      </c>
      <c r="D103" s="51"/>
    </row>
    <row r="104" spans="1:4" x14ac:dyDescent="0.3">
      <c r="A104" t="s">
        <v>28</v>
      </c>
      <c r="B104">
        <f>COUNTIF(HicRawData[#Headers],A104)</f>
        <v>1</v>
      </c>
      <c r="D104" s="51"/>
    </row>
    <row r="105" spans="1:4" x14ac:dyDescent="0.3">
      <c r="A105" t="s">
        <v>27</v>
      </c>
      <c r="B105">
        <f>COUNTIF(HicRawData[#Headers],A105)</f>
        <v>1</v>
      </c>
      <c r="D105" s="51"/>
    </row>
    <row r="106" spans="1:4" x14ac:dyDescent="0.3">
      <c r="A106" t="s">
        <v>26</v>
      </c>
      <c r="B106">
        <f>COUNTIF(HicRawData[#Headers],A106)</f>
        <v>1</v>
      </c>
      <c r="D106" s="51"/>
    </row>
    <row r="107" spans="1:4" x14ac:dyDescent="0.3">
      <c r="A107" t="s">
        <v>25</v>
      </c>
      <c r="B107">
        <f>COUNTIF(HicRawData[#Headers],A107)</f>
        <v>1</v>
      </c>
      <c r="D107" s="51"/>
    </row>
    <row r="108" spans="1:4" x14ac:dyDescent="0.3">
      <c r="A108" t="s">
        <v>24</v>
      </c>
      <c r="B108">
        <f>COUNTIF(HicRawData[#Headers],A108)</f>
        <v>1</v>
      </c>
      <c r="D108" s="51"/>
    </row>
    <row r="109" spans="1:4" x14ac:dyDescent="0.3">
      <c r="A109" t="s">
        <v>23</v>
      </c>
      <c r="B109">
        <f>COUNTIF(HicRawData[#Headers],A109)</f>
        <v>1</v>
      </c>
      <c r="D109" s="51"/>
    </row>
    <row r="110" spans="1:4" x14ac:dyDescent="0.3">
      <c r="A110" t="s">
        <v>22</v>
      </c>
      <c r="B110">
        <f>COUNTIF(HicRawData[#Headers],A110)</f>
        <v>1</v>
      </c>
      <c r="D110" s="51"/>
    </row>
    <row r="111" spans="1:4" x14ac:dyDescent="0.3">
      <c r="A111" t="s">
        <v>116</v>
      </c>
      <c r="B111">
        <f>COUNTIF(HicRawData[#Headers],A111)</f>
        <v>1</v>
      </c>
      <c r="D111" s="51"/>
    </row>
    <row r="112" spans="1:4" x14ac:dyDescent="0.3">
      <c r="A112" t="s">
        <v>21</v>
      </c>
      <c r="B112">
        <f>COUNTIF(HicRawData[#Headers],A112)</f>
        <v>1</v>
      </c>
      <c r="D112" s="51"/>
    </row>
    <row r="113" spans="1:4" x14ac:dyDescent="0.3">
      <c r="A113" t="s">
        <v>20</v>
      </c>
      <c r="B113">
        <f>COUNTIF(HicRawData[#Headers],A113)</f>
        <v>1</v>
      </c>
      <c r="D113" s="51"/>
    </row>
    <row r="114" spans="1:4" x14ac:dyDescent="0.3">
      <c r="A114" t="s">
        <v>19</v>
      </c>
      <c r="B114">
        <f>COUNTIF(HicRawData[#Headers],A114)</f>
        <v>1</v>
      </c>
      <c r="D114" s="51"/>
    </row>
    <row r="115" spans="1:4" x14ac:dyDescent="0.3">
      <c r="A115" t="s">
        <v>18</v>
      </c>
      <c r="B115">
        <f>COUNTIF(HicRawData[#Headers],A115)</f>
        <v>1</v>
      </c>
      <c r="D115" s="51"/>
    </row>
    <row r="116" spans="1:4" x14ac:dyDescent="0.3">
      <c r="A116" t="s">
        <v>17</v>
      </c>
      <c r="B116">
        <f>COUNTIF(HicRawData[#Headers],A116)</f>
        <v>1</v>
      </c>
      <c r="D116" s="51"/>
    </row>
    <row r="117" spans="1:4" x14ac:dyDescent="0.3">
      <c r="A117" t="s">
        <v>16</v>
      </c>
      <c r="B117">
        <f>COUNTIF(HicRawData[#Headers],A117)</f>
        <v>1</v>
      </c>
      <c r="D117" s="51"/>
    </row>
    <row r="118" spans="1:4" x14ac:dyDescent="0.3">
      <c r="A118" t="s">
        <v>15</v>
      </c>
      <c r="B118">
        <f>COUNTIF(HicRawData[#Headers],A118)</f>
        <v>1</v>
      </c>
      <c r="D118" s="51"/>
    </row>
  </sheetData>
  <sheetProtection algorithmName="SHA-512" hashValue="lSBcB7DypqlO9HC8xm2E8ZsPlEtF05ADZ74OqSFUpXJSGDsKbnC54EISXulzzDoilEWye3s3jqG8Ehc0D4EYng==" saltValue="Jlw8JVV3hxwe5uaHOd9HzA==" spinCount="100000" sheet="1" objects="1" scenarios="1"/>
  <conditionalFormatting sqref="B7">
    <cfRule type="cellIs" dxfId="10" priority="9" operator="equal">
      <formula>FALSE</formula>
    </cfRule>
    <cfRule type="cellIs" dxfId="9" priority="10" operator="equal">
      <formula>TRUE</formula>
    </cfRule>
  </conditionalFormatting>
  <conditionalFormatting sqref="B15">
    <cfRule type="cellIs" dxfId="8" priority="7" operator="equal">
      <formula>FALSE</formula>
    </cfRule>
    <cfRule type="cellIs" dxfId="7" priority="8" operator="equal">
      <formula>TRUE</formula>
    </cfRule>
  </conditionalFormatting>
  <conditionalFormatting sqref="B17">
    <cfRule type="cellIs" dxfId="6" priority="5" operator="equal">
      <formula>FALSE</formula>
    </cfRule>
    <cfRule type="cellIs" dxfId="5" priority="6" operator="equal">
      <formula>TRUE</formula>
    </cfRule>
  </conditionalFormatting>
  <conditionalFormatting sqref="B19">
    <cfRule type="cellIs" dxfId="4" priority="3" operator="equal">
      <formula>FALSE</formula>
    </cfRule>
    <cfRule type="cellIs" dxfId="3" priority="4" operator="equal">
      <formula>TRUE</formula>
    </cfRule>
  </conditionalFormatting>
  <conditionalFormatting sqref="B21">
    <cfRule type="cellIs" dxfId="2" priority="1" operator="equal">
      <formula>FALSE</formula>
    </cfRule>
    <cfRule type="cellIs" dxfId="1" priority="2" operator="equal">
      <formula>TRUE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78397-0D77-4B07-B36F-C4BAA593BC0D}">
  <sheetPr codeName="Sheet15">
    <tabColor rgb="FF003366"/>
  </sheetPr>
  <dimension ref="A1:CP28"/>
  <sheetViews>
    <sheetView zoomScaleNormal="100" workbookViewId="0">
      <selection activeCell="A3" sqref="A3:CP28"/>
    </sheetView>
  </sheetViews>
  <sheetFormatPr defaultColWidth="9.109375" defaultRowHeight="14.4" x14ac:dyDescent="0.3"/>
  <cols>
    <col min="1" max="1" width="9.109375" style="16" customWidth="1"/>
    <col min="2" max="2" width="10.33203125" style="16" customWidth="1"/>
    <col min="3" max="3" width="9.109375" style="16" customWidth="1"/>
    <col min="4" max="4" width="10.33203125" style="16" customWidth="1"/>
    <col min="5" max="6" width="9.109375" style="16" customWidth="1"/>
    <col min="7" max="67" width="10.33203125" style="16" customWidth="1"/>
    <col min="68" max="70" width="9.109375" style="16"/>
    <col min="71" max="89" width="10.33203125" style="16" customWidth="1"/>
    <col min="90" max="90" width="9.109375" style="16"/>
    <col min="91" max="94" width="10.33203125" style="16" customWidth="1"/>
    <col min="95" max="16384" width="9.109375" style="16"/>
  </cols>
  <sheetData>
    <row r="1" spans="1:94" ht="57.6" x14ac:dyDescent="0.3">
      <c r="A1" s="15" t="s">
        <v>95</v>
      </c>
      <c r="B1" s="15" t="s">
        <v>94</v>
      </c>
      <c r="C1" s="15" t="s">
        <v>13</v>
      </c>
      <c r="D1" s="15" t="s">
        <v>93</v>
      </c>
      <c r="E1" s="15" t="s">
        <v>92</v>
      </c>
      <c r="F1" s="15" t="s">
        <v>123</v>
      </c>
      <c r="G1" s="15" t="s">
        <v>91</v>
      </c>
      <c r="H1" s="15" t="s">
        <v>90</v>
      </c>
      <c r="I1" s="15" t="s">
        <v>89</v>
      </c>
      <c r="J1" s="15" t="s">
        <v>137</v>
      </c>
      <c r="K1" s="15" t="s">
        <v>88</v>
      </c>
      <c r="L1" s="15" t="s">
        <v>87</v>
      </c>
      <c r="M1" s="15" t="s">
        <v>86</v>
      </c>
      <c r="N1" s="15" t="s">
        <v>85</v>
      </c>
      <c r="O1" s="15" t="s">
        <v>122</v>
      </c>
      <c r="P1" s="15" t="s">
        <v>84</v>
      </c>
      <c r="Q1" s="15" t="s">
        <v>83</v>
      </c>
      <c r="R1" s="15" t="s">
        <v>121</v>
      </c>
      <c r="S1" s="15" t="s">
        <v>82</v>
      </c>
      <c r="T1" s="15" t="s">
        <v>151</v>
      </c>
      <c r="U1" s="15" t="s">
        <v>152</v>
      </c>
      <c r="V1" s="15" t="s">
        <v>81</v>
      </c>
      <c r="W1" s="15" t="s">
        <v>80</v>
      </c>
      <c r="X1" s="15" t="s">
        <v>79</v>
      </c>
      <c r="Y1" s="15" t="s">
        <v>120</v>
      </c>
      <c r="Z1" s="15" t="s">
        <v>78</v>
      </c>
      <c r="AA1" s="15" t="s">
        <v>77</v>
      </c>
      <c r="AB1" s="15" t="s">
        <v>76</v>
      </c>
      <c r="AC1" s="15" t="s">
        <v>75</v>
      </c>
      <c r="AD1" s="15" t="s">
        <v>74</v>
      </c>
      <c r="AE1" s="15" t="s">
        <v>73</v>
      </c>
      <c r="AF1" s="15" t="s">
        <v>72</v>
      </c>
      <c r="AG1" s="15" t="s">
        <v>71</v>
      </c>
      <c r="AH1" s="15" t="s">
        <v>70</v>
      </c>
      <c r="AI1" s="15" t="s">
        <v>69</v>
      </c>
      <c r="AJ1" s="15" t="s">
        <v>68</v>
      </c>
      <c r="AK1" s="15" t="s">
        <v>119</v>
      </c>
      <c r="AL1" s="15" t="s">
        <v>118</v>
      </c>
      <c r="AM1" s="15" t="s">
        <v>67</v>
      </c>
      <c r="AN1" s="15" t="s">
        <v>66</v>
      </c>
      <c r="AO1" s="15" t="s">
        <v>65</v>
      </c>
      <c r="AP1" s="15" t="s">
        <v>64</v>
      </c>
      <c r="AQ1" s="15" t="s">
        <v>63</v>
      </c>
      <c r="AR1" s="15" t="s">
        <v>62</v>
      </c>
      <c r="AS1" s="15" t="s">
        <v>61</v>
      </c>
      <c r="AT1" s="15" t="s">
        <v>60</v>
      </c>
      <c r="AU1" s="15" t="s">
        <v>59</v>
      </c>
      <c r="AV1" s="15" t="s">
        <v>58</v>
      </c>
      <c r="AW1" s="15" t="s">
        <v>57</v>
      </c>
      <c r="AX1" s="15" t="s">
        <v>55</v>
      </c>
      <c r="AY1" s="15" t="s">
        <v>56</v>
      </c>
      <c r="AZ1" s="15" t="s">
        <v>54</v>
      </c>
      <c r="BA1" s="15" t="s">
        <v>53</v>
      </c>
      <c r="BB1" s="15" t="s">
        <v>52</v>
      </c>
      <c r="BC1" s="15" t="s">
        <v>51</v>
      </c>
      <c r="BD1" s="15" t="s">
        <v>50</v>
      </c>
      <c r="BE1" s="15" t="s">
        <v>49</v>
      </c>
      <c r="BF1" s="15" t="s">
        <v>48</v>
      </c>
      <c r="BG1" s="15" t="s">
        <v>45</v>
      </c>
      <c r="BH1" s="15" t="s">
        <v>47</v>
      </c>
      <c r="BI1" s="15" t="s">
        <v>46</v>
      </c>
      <c r="BJ1" s="15" t="s">
        <v>44</v>
      </c>
      <c r="BK1" s="15" t="s">
        <v>43</v>
      </c>
      <c r="BL1" s="15" t="s">
        <v>117</v>
      </c>
      <c r="BM1" s="15" t="s">
        <v>14</v>
      </c>
      <c r="BN1" s="15" t="s">
        <v>42</v>
      </c>
      <c r="BO1" s="15" t="s">
        <v>41</v>
      </c>
      <c r="BP1" s="15" t="s">
        <v>40</v>
      </c>
      <c r="BQ1" s="15" t="s">
        <v>39</v>
      </c>
      <c r="BR1" s="15" t="s">
        <v>38</v>
      </c>
      <c r="BS1" s="15" t="s">
        <v>37</v>
      </c>
      <c r="BT1" s="15" t="s">
        <v>36</v>
      </c>
      <c r="BU1" s="15" t="s">
        <v>35</v>
      </c>
      <c r="BV1" s="15" t="s">
        <v>34</v>
      </c>
      <c r="BW1" s="15" t="s">
        <v>33</v>
      </c>
      <c r="BX1" s="15" t="s">
        <v>32</v>
      </c>
      <c r="BY1" s="15" t="s">
        <v>31</v>
      </c>
      <c r="BZ1" s="15" t="s">
        <v>30</v>
      </c>
      <c r="CA1" s="15" t="s">
        <v>29</v>
      </c>
      <c r="CB1" s="15" t="s">
        <v>28</v>
      </c>
      <c r="CC1" s="15" t="s">
        <v>27</v>
      </c>
      <c r="CD1" s="15" t="s">
        <v>26</v>
      </c>
      <c r="CE1" s="15" t="s">
        <v>25</v>
      </c>
      <c r="CF1" s="15" t="s">
        <v>24</v>
      </c>
      <c r="CG1" s="15" t="s">
        <v>23</v>
      </c>
      <c r="CH1" s="15" t="s">
        <v>22</v>
      </c>
      <c r="CI1" s="15" t="s">
        <v>116</v>
      </c>
      <c r="CJ1" s="15" t="s">
        <v>21</v>
      </c>
      <c r="CK1" s="15" t="s">
        <v>20</v>
      </c>
      <c r="CL1" s="15" t="s">
        <v>19</v>
      </c>
      <c r="CM1" s="15" t="s">
        <v>18</v>
      </c>
      <c r="CN1" s="15" t="s">
        <v>17</v>
      </c>
      <c r="CO1" s="15" t="s">
        <v>16</v>
      </c>
      <c r="CP1" s="15" t="s">
        <v>15</v>
      </c>
    </row>
    <row r="2" spans="1:94" x14ac:dyDescent="0.3">
      <c r="A2"/>
      <c r="B2"/>
      <c r="C2"/>
      <c r="D2"/>
      <c r="E2"/>
      <c r="F2"/>
      <c r="G2"/>
      <c r="H2"/>
      <c r="I2"/>
      <c r="J2"/>
      <c r="K2"/>
      <c r="L2" s="42"/>
      <c r="M2"/>
      <c r="N2"/>
      <c r="O2"/>
      <c r="P2"/>
      <c r="Q2"/>
      <c r="R2" s="4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s="42"/>
      <c r="CL2"/>
      <c r="CM2"/>
      <c r="CN2"/>
      <c r="CO2"/>
      <c r="CP2"/>
    </row>
    <row r="3" spans="1:94" x14ac:dyDescent="0.3">
      <c r="A3" s="52" t="s">
        <v>95</v>
      </c>
      <c r="B3" s="52" t="s">
        <v>94</v>
      </c>
      <c r="C3" s="52" t="s">
        <v>13</v>
      </c>
      <c r="D3" s="53" t="s">
        <v>93</v>
      </c>
      <c r="E3" s="52" t="s">
        <v>92</v>
      </c>
      <c r="F3" s="52" t="s">
        <v>123</v>
      </c>
      <c r="G3" s="52" t="s">
        <v>91</v>
      </c>
      <c r="H3" s="52" t="s">
        <v>90</v>
      </c>
      <c r="I3" s="52" t="s">
        <v>89</v>
      </c>
      <c r="J3" s="54" t="s">
        <v>137</v>
      </c>
      <c r="K3" s="52" t="s">
        <v>88</v>
      </c>
      <c r="L3" s="55" t="s">
        <v>87</v>
      </c>
      <c r="M3" s="52" t="s">
        <v>86</v>
      </c>
      <c r="N3" s="52" t="s">
        <v>85</v>
      </c>
      <c r="O3" s="52" t="s">
        <v>122</v>
      </c>
      <c r="P3" s="52" t="s">
        <v>84</v>
      </c>
      <c r="Q3" s="52" t="s">
        <v>83</v>
      </c>
      <c r="R3" s="55" t="s">
        <v>121</v>
      </c>
      <c r="S3" s="52" t="s">
        <v>82</v>
      </c>
      <c r="T3" t="s">
        <v>151</v>
      </c>
      <c r="U3" t="s">
        <v>152</v>
      </c>
      <c r="V3" s="52" t="s">
        <v>81</v>
      </c>
      <c r="W3" s="52" t="s">
        <v>80</v>
      </c>
      <c r="X3" s="52" t="s">
        <v>79</v>
      </c>
      <c r="Y3" s="52" t="s">
        <v>120</v>
      </c>
      <c r="Z3" s="52" t="s">
        <v>78</v>
      </c>
      <c r="AA3" s="52" t="s">
        <v>77</v>
      </c>
      <c r="AB3" s="52" t="s">
        <v>76</v>
      </c>
      <c r="AC3" s="52" t="s">
        <v>75</v>
      </c>
      <c r="AD3" s="52" t="s">
        <v>74</v>
      </c>
      <c r="AE3" s="52" t="s">
        <v>73</v>
      </c>
      <c r="AF3" s="52" t="s">
        <v>72</v>
      </c>
      <c r="AG3" s="52" t="s">
        <v>71</v>
      </c>
      <c r="AH3" s="52" t="s">
        <v>70</v>
      </c>
      <c r="AI3" s="52" t="s">
        <v>69</v>
      </c>
      <c r="AJ3" s="52" t="s">
        <v>68</v>
      </c>
      <c r="AK3" s="52" t="s">
        <v>119</v>
      </c>
      <c r="AL3" s="52" t="s">
        <v>118</v>
      </c>
      <c r="AM3" s="52" t="s">
        <v>67</v>
      </c>
      <c r="AN3" s="52" t="s">
        <v>66</v>
      </c>
      <c r="AO3" s="52" t="s">
        <v>65</v>
      </c>
      <c r="AP3" s="52" t="s">
        <v>64</v>
      </c>
      <c r="AQ3" s="52" t="s">
        <v>63</v>
      </c>
      <c r="AR3" s="52" t="s">
        <v>62</v>
      </c>
      <c r="AS3" s="52" t="s">
        <v>61</v>
      </c>
      <c r="AT3" s="52" t="s">
        <v>60</v>
      </c>
      <c r="AU3" s="52" t="s">
        <v>59</v>
      </c>
      <c r="AV3" s="52" t="s">
        <v>58</v>
      </c>
      <c r="AW3" s="52" t="s">
        <v>57</v>
      </c>
      <c r="AX3" s="52" t="s">
        <v>55</v>
      </c>
      <c r="AY3" s="52" t="s">
        <v>56</v>
      </c>
      <c r="AZ3" s="52" t="s">
        <v>54</v>
      </c>
      <c r="BA3" s="52" t="s">
        <v>53</v>
      </c>
      <c r="BB3" s="52" t="s">
        <v>52</v>
      </c>
      <c r="BC3" s="52" t="s">
        <v>51</v>
      </c>
      <c r="BD3" s="52" t="s">
        <v>50</v>
      </c>
      <c r="BE3" s="52" t="s">
        <v>49</v>
      </c>
      <c r="BF3" s="52" t="s">
        <v>48</v>
      </c>
      <c r="BG3" s="52" t="s">
        <v>45</v>
      </c>
      <c r="BH3" s="52" t="s">
        <v>47</v>
      </c>
      <c r="BI3" s="52" t="s">
        <v>46</v>
      </c>
      <c r="BJ3" s="52" t="s">
        <v>44</v>
      </c>
      <c r="BK3" s="52" t="s">
        <v>43</v>
      </c>
      <c r="BL3" s="52" t="s">
        <v>117</v>
      </c>
      <c r="BM3" s="52" t="s">
        <v>14</v>
      </c>
      <c r="BN3" s="52" t="s">
        <v>42</v>
      </c>
      <c r="BO3" s="52" t="s">
        <v>41</v>
      </c>
      <c r="BP3" s="52" t="s">
        <v>40</v>
      </c>
      <c r="BQ3" s="52" t="s">
        <v>39</v>
      </c>
      <c r="BR3" s="52" t="s">
        <v>38</v>
      </c>
      <c r="BS3" s="52" t="s">
        <v>37</v>
      </c>
      <c r="BT3" s="52" t="s">
        <v>36</v>
      </c>
      <c r="BU3" s="52" t="s">
        <v>35</v>
      </c>
      <c r="BV3" s="52" t="s">
        <v>34</v>
      </c>
      <c r="BW3" s="52" t="s">
        <v>33</v>
      </c>
      <c r="BX3" s="52" t="s">
        <v>32</v>
      </c>
      <c r="BY3" s="52" t="s">
        <v>31</v>
      </c>
      <c r="BZ3" s="52" t="s">
        <v>30</v>
      </c>
      <c r="CA3" s="52" t="s">
        <v>29</v>
      </c>
      <c r="CB3" s="52" t="s">
        <v>28</v>
      </c>
      <c r="CC3" s="52" t="s">
        <v>27</v>
      </c>
      <c r="CD3" s="52" t="s">
        <v>26</v>
      </c>
      <c r="CE3" s="52" t="s">
        <v>25</v>
      </c>
      <c r="CF3" s="52" t="s">
        <v>24</v>
      </c>
      <c r="CG3" s="52" t="s">
        <v>23</v>
      </c>
      <c r="CH3" s="52" t="s">
        <v>22</v>
      </c>
      <c r="CI3" s="52" t="s">
        <v>116</v>
      </c>
      <c r="CJ3" s="52" t="s">
        <v>21</v>
      </c>
      <c r="CK3" s="55" t="s">
        <v>20</v>
      </c>
      <c r="CL3" s="52" t="s">
        <v>19</v>
      </c>
      <c r="CM3" s="52" t="s">
        <v>18</v>
      </c>
      <c r="CN3" s="52" t="s">
        <v>17</v>
      </c>
      <c r="CO3" s="52" t="s">
        <v>16</v>
      </c>
      <c r="CP3" s="52" t="s">
        <v>15</v>
      </c>
    </row>
    <row r="4" spans="1:94" x14ac:dyDescent="0.3">
      <c r="A4" s="52">
        <v>1</v>
      </c>
      <c r="B4" s="52" t="s">
        <v>154</v>
      </c>
      <c r="C4" s="52" t="s">
        <v>155</v>
      </c>
      <c r="D4" s="53" t="s">
        <v>156</v>
      </c>
      <c r="E4" s="52" t="s">
        <v>157</v>
      </c>
      <c r="F4" s="52">
        <v>2025</v>
      </c>
      <c r="G4" s="52" t="s">
        <v>158</v>
      </c>
      <c r="H4" s="52">
        <v>5685</v>
      </c>
      <c r="I4" s="52" t="s">
        <v>159</v>
      </c>
      <c r="J4" s="54"/>
      <c r="K4" s="52">
        <v>5821</v>
      </c>
      <c r="L4" s="55">
        <v>45684</v>
      </c>
      <c r="M4" s="52" t="s">
        <v>2</v>
      </c>
      <c r="N4" s="52"/>
      <c r="O4" s="52" t="s">
        <v>160</v>
      </c>
      <c r="P4" s="52" t="s">
        <v>115</v>
      </c>
      <c r="Q4" s="52" t="s">
        <v>1</v>
      </c>
      <c r="R4" s="55">
        <v>45200</v>
      </c>
      <c r="S4" s="52" t="s">
        <v>8</v>
      </c>
      <c r="T4" s="42">
        <v>41913</v>
      </c>
      <c r="U4"/>
      <c r="V4" s="52">
        <v>0</v>
      </c>
      <c r="W4" s="52">
        <v>0</v>
      </c>
      <c r="X4" s="52">
        <v>0</v>
      </c>
      <c r="Y4" s="52">
        <v>0</v>
      </c>
      <c r="Z4" s="52">
        <v>0</v>
      </c>
      <c r="AA4" s="52">
        <v>0</v>
      </c>
      <c r="AB4" s="52">
        <v>0</v>
      </c>
      <c r="AC4" s="52">
        <v>0</v>
      </c>
      <c r="AD4" s="52">
        <v>0</v>
      </c>
      <c r="AE4" s="52">
        <v>0</v>
      </c>
      <c r="AF4" s="52">
        <v>0</v>
      </c>
      <c r="AG4" s="52">
        <v>0</v>
      </c>
      <c r="AH4" s="52">
        <v>0</v>
      </c>
      <c r="AI4" s="52">
        <v>0</v>
      </c>
      <c r="AJ4" s="52">
        <v>0</v>
      </c>
      <c r="AK4" s="52">
        <v>0</v>
      </c>
      <c r="AL4" s="52">
        <v>0</v>
      </c>
      <c r="AM4" s="52">
        <v>0</v>
      </c>
      <c r="AN4" s="52">
        <v>0</v>
      </c>
      <c r="AO4" s="52">
        <v>0</v>
      </c>
      <c r="AP4" s="52">
        <v>0</v>
      </c>
      <c r="AQ4" s="52">
        <v>0</v>
      </c>
      <c r="AR4" s="52">
        <v>0</v>
      </c>
      <c r="AS4" s="52">
        <v>0</v>
      </c>
      <c r="AT4" s="52">
        <v>0</v>
      </c>
      <c r="AU4" s="52">
        <v>0</v>
      </c>
      <c r="AV4" s="52">
        <v>0</v>
      </c>
      <c r="AW4" s="52">
        <v>0</v>
      </c>
      <c r="AX4" s="52">
        <v>0</v>
      </c>
      <c r="AY4" s="52">
        <v>0</v>
      </c>
      <c r="AZ4" s="52">
        <v>0</v>
      </c>
      <c r="BA4" s="52">
        <v>0</v>
      </c>
      <c r="BB4" s="52">
        <v>0</v>
      </c>
      <c r="BC4" s="52">
        <v>0</v>
      </c>
      <c r="BD4" s="52">
        <v>0</v>
      </c>
      <c r="BE4" s="52">
        <v>0</v>
      </c>
      <c r="BF4" s="52">
        <v>0</v>
      </c>
      <c r="BG4" s="52">
        <v>0</v>
      </c>
      <c r="BH4" s="52">
        <v>0</v>
      </c>
      <c r="BI4" s="52">
        <v>0</v>
      </c>
      <c r="BJ4" s="52">
        <v>0</v>
      </c>
      <c r="BK4" s="52"/>
      <c r="BL4" s="52" t="s">
        <v>161</v>
      </c>
      <c r="BM4" s="52">
        <v>1</v>
      </c>
      <c r="BN4" s="52"/>
      <c r="BO4" s="52"/>
      <c r="BP4" s="52"/>
      <c r="BQ4" s="52"/>
      <c r="BR4" s="52" t="s">
        <v>162</v>
      </c>
      <c r="BS4" s="52">
        <v>5</v>
      </c>
      <c r="BT4" s="52">
        <v>2</v>
      </c>
      <c r="BU4" s="52">
        <v>0</v>
      </c>
      <c r="BV4" s="52">
        <v>0</v>
      </c>
      <c r="BW4" s="52">
        <v>0</v>
      </c>
      <c r="BX4" s="52">
        <v>2</v>
      </c>
      <c r="BY4" s="52">
        <v>0</v>
      </c>
      <c r="BZ4" s="52">
        <v>0</v>
      </c>
      <c r="CA4" s="52">
        <v>0</v>
      </c>
      <c r="CB4" s="52">
        <v>0</v>
      </c>
      <c r="CC4" s="52">
        <v>0</v>
      </c>
      <c r="CD4" s="52">
        <v>7</v>
      </c>
      <c r="CE4" s="52">
        <v>0</v>
      </c>
      <c r="CF4" s="52"/>
      <c r="CG4" s="52"/>
      <c r="CH4" s="52">
        <v>0</v>
      </c>
      <c r="CI4" s="52">
        <v>7</v>
      </c>
      <c r="CJ4" s="52">
        <v>7</v>
      </c>
      <c r="CK4" s="55">
        <v>45799</v>
      </c>
      <c r="CL4" s="52"/>
      <c r="CM4" s="52"/>
      <c r="CN4" s="52" t="s">
        <v>12</v>
      </c>
      <c r="CO4" s="52"/>
      <c r="CP4" s="52">
        <v>2</v>
      </c>
    </row>
    <row r="5" spans="1:94" x14ac:dyDescent="0.3">
      <c r="A5" s="52">
        <v>2</v>
      </c>
      <c r="B5" s="52" t="s">
        <v>154</v>
      </c>
      <c r="C5" s="52" t="s">
        <v>155</v>
      </c>
      <c r="D5" s="53" t="s">
        <v>156</v>
      </c>
      <c r="E5" s="52" t="s">
        <v>157</v>
      </c>
      <c r="F5" s="52">
        <v>2025</v>
      </c>
      <c r="G5" s="52" t="s">
        <v>158</v>
      </c>
      <c r="H5" s="52">
        <v>5685</v>
      </c>
      <c r="I5" s="52" t="s">
        <v>163</v>
      </c>
      <c r="J5" s="54"/>
      <c r="K5" s="52">
        <v>5941</v>
      </c>
      <c r="L5" s="55">
        <v>45684</v>
      </c>
      <c r="M5" s="52" t="s">
        <v>2</v>
      </c>
      <c r="N5" s="52"/>
      <c r="O5" s="52" t="s">
        <v>160</v>
      </c>
      <c r="P5" s="52" t="s">
        <v>115</v>
      </c>
      <c r="Q5" s="52" t="s">
        <v>1</v>
      </c>
      <c r="R5" s="55">
        <v>45200</v>
      </c>
      <c r="S5" s="52" t="s">
        <v>8</v>
      </c>
      <c r="T5" s="42">
        <v>41913</v>
      </c>
      <c r="U5"/>
      <c r="V5" s="52">
        <v>0</v>
      </c>
      <c r="W5" s="52">
        <v>0</v>
      </c>
      <c r="X5" s="52">
        <v>0</v>
      </c>
      <c r="Y5" s="52">
        <v>0</v>
      </c>
      <c r="Z5" s="52">
        <v>0</v>
      </c>
      <c r="AA5" s="52">
        <v>0</v>
      </c>
      <c r="AB5" s="52">
        <v>0</v>
      </c>
      <c r="AC5" s="52">
        <v>0</v>
      </c>
      <c r="AD5" s="52">
        <v>0</v>
      </c>
      <c r="AE5" s="52">
        <v>0</v>
      </c>
      <c r="AF5" s="52">
        <v>0</v>
      </c>
      <c r="AG5" s="52">
        <v>0</v>
      </c>
      <c r="AH5" s="52">
        <v>0</v>
      </c>
      <c r="AI5" s="52">
        <v>0</v>
      </c>
      <c r="AJ5" s="52">
        <v>0</v>
      </c>
      <c r="AK5" s="52">
        <v>0</v>
      </c>
      <c r="AL5" s="52">
        <v>0</v>
      </c>
      <c r="AM5" s="52">
        <v>0</v>
      </c>
      <c r="AN5" s="52">
        <v>0</v>
      </c>
      <c r="AO5" s="52">
        <v>0</v>
      </c>
      <c r="AP5" s="52">
        <v>0</v>
      </c>
      <c r="AQ5" s="52">
        <v>0</v>
      </c>
      <c r="AR5" s="52">
        <v>0</v>
      </c>
      <c r="AS5" s="52">
        <v>0</v>
      </c>
      <c r="AT5" s="52">
        <v>0</v>
      </c>
      <c r="AU5" s="52">
        <v>0</v>
      </c>
      <c r="AV5" s="52">
        <v>0</v>
      </c>
      <c r="AW5" s="52">
        <v>0</v>
      </c>
      <c r="AX5" s="52">
        <v>0</v>
      </c>
      <c r="AY5" s="52">
        <v>0</v>
      </c>
      <c r="AZ5" s="52">
        <v>0</v>
      </c>
      <c r="BA5" s="52">
        <v>0</v>
      </c>
      <c r="BB5" s="52">
        <v>0</v>
      </c>
      <c r="BC5" s="52">
        <v>0</v>
      </c>
      <c r="BD5" s="52">
        <v>0</v>
      </c>
      <c r="BE5" s="52">
        <v>0</v>
      </c>
      <c r="BF5" s="52">
        <v>0</v>
      </c>
      <c r="BG5" s="52">
        <v>0</v>
      </c>
      <c r="BH5" s="52">
        <v>0</v>
      </c>
      <c r="BI5" s="52">
        <v>0</v>
      </c>
      <c r="BJ5" s="52">
        <v>0</v>
      </c>
      <c r="BK5" s="52"/>
      <c r="BL5" s="52" t="s">
        <v>161</v>
      </c>
      <c r="BM5" s="52">
        <v>1</v>
      </c>
      <c r="BN5" s="52"/>
      <c r="BO5" s="52"/>
      <c r="BP5" s="52"/>
      <c r="BQ5" s="52"/>
      <c r="BR5" s="52" t="s">
        <v>162</v>
      </c>
      <c r="BS5" s="52">
        <v>10</v>
      </c>
      <c r="BT5" s="52">
        <v>2</v>
      </c>
      <c r="BU5" s="52">
        <v>0</v>
      </c>
      <c r="BV5" s="52">
        <v>0</v>
      </c>
      <c r="BW5" s="52">
        <v>0</v>
      </c>
      <c r="BX5" s="52">
        <v>0</v>
      </c>
      <c r="BY5" s="52">
        <v>0</v>
      </c>
      <c r="BZ5" s="52">
        <v>0</v>
      </c>
      <c r="CA5" s="52">
        <v>0</v>
      </c>
      <c r="CB5" s="52">
        <v>0</v>
      </c>
      <c r="CC5" s="52">
        <v>0</v>
      </c>
      <c r="CD5" s="52">
        <v>10</v>
      </c>
      <c r="CE5" s="52">
        <v>0</v>
      </c>
      <c r="CF5" s="52"/>
      <c r="CG5" s="52"/>
      <c r="CH5" s="52">
        <v>0</v>
      </c>
      <c r="CI5" s="52">
        <v>8</v>
      </c>
      <c r="CJ5" s="52">
        <v>10</v>
      </c>
      <c r="CK5" s="55">
        <v>45866</v>
      </c>
      <c r="CL5" s="52"/>
      <c r="CM5" s="52"/>
      <c r="CN5" s="52" t="s">
        <v>12</v>
      </c>
      <c r="CO5" s="52"/>
      <c r="CP5" s="52">
        <v>2</v>
      </c>
    </row>
    <row r="6" spans="1:94" x14ac:dyDescent="0.3">
      <c r="A6" s="52">
        <v>3</v>
      </c>
      <c r="B6" s="52" t="s">
        <v>154</v>
      </c>
      <c r="C6" s="52" t="s">
        <v>155</v>
      </c>
      <c r="D6" s="53" t="s">
        <v>156</v>
      </c>
      <c r="E6" s="52" t="s">
        <v>157</v>
      </c>
      <c r="F6" s="52">
        <v>2025</v>
      </c>
      <c r="G6" s="52" t="s">
        <v>164</v>
      </c>
      <c r="H6" s="52">
        <v>9349</v>
      </c>
      <c r="I6" s="52" t="s">
        <v>165</v>
      </c>
      <c r="J6" s="54"/>
      <c r="K6" s="52">
        <v>5950</v>
      </c>
      <c r="L6" s="55">
        <v>45684</v>
      </c>
      <c r="M6" s="52" t="s">
        <v>4</v>
      </c>
      <c r="N6" s="52"/>
      <c r="O6" s="52" t="s">
        <v>160</v>
      </c>
      <c r="P6" s="52" t="s">
        <v>9</v>
      </c>
      <c r="Q6" s="52" t="s">
        <v>1</v>
      </c>
      <c r="R6" s="55">
        <v>45566</v>
      </c>
      <c r="S6" s="52" t="s">
        <v>0</v>
      </c>
      <c r="T6" s="42">
        <v>41913</v>
      </c>
      <c r="U6"/>
      <c r="V6" s="52">
        <v>0</v>
      </c>
      <c r="W6" s="52">
        <v>0</v>
      </c>
      <c r="X6" s="52">
        <v>0</v>
      </c>
      <c r="Y6" s="52">
        <v>0</v>
      </c>
      <c r="Z6" s="52">
        <v>0</v>
      </c>
      <c r="AA6" s="52">
        <v>0</v>
      </c>
      <c r="AB6" s="52">
        <v>0</v>
      </c>
      <c r="AC6" s="52">
        <v>0</v>
      </c>
      <c r="AD6" s="52">
        <v>0</v>
      </c>
      <c r="AE6" s="52">
        <v>0</v>
      </c>
      <c r="AF6" s="52">
        <v>0</v>
      </c>
      <c r="AG6" s="52">
        <v>0</v>
      </c>
      <c r="AH6" s="52">
        <v>0</v>
      </c>
      <c r="AI6" s="52">
        <v>0</v>
      </c>
      <c r="AJ6" s="52">
        <v>0</v>
      </c>
      <c r="AK6" s="52">
        <v>0</v>
      </c>
      <c r="AL6" s="52">
        <v>0</v>
      </c>
      <c r="AM6" s="52">
        <v>0</v>
      </c>
      <c r="AN6" s="52">
        <v>1</v>
      </c>
      <c r="AO6" s="52">
        <v>0</v>
      </c>
      <c r="AP6" s="52">
        <v>0</v>
      </c>
      <c r="AQ6" s="52">
        <v>0</v>
      </c>
      <c r="AR6" s="52">
        <v>0</v>
      </c>
      <c r="AS6" s="52">
        <v>0</v>
      </c>
      <c r="AT6" s="52">
        <v>0</v>
      </c>
      <c r="AU6" s="52">
        <v>0</v>
      </c>
      <c r="AV6" s="52">
        <v>0</v>
      </c>
      <c r="AW6" s="52">
        <v>0</v>
      </c>
      <c r="AX6" s="52">
        <v>0</v>
      </c>
      <c r="AY6" s="52">
        <v>0</v>
      </c>
      <c r="AZ6" s="52">
        <v>0</v>
      </c>
      <c r="BA6" s="52">
        <v>0</v>
      </c>
      <c r="BB6" s="52">
        <v>0</v>
      </c>
      <c r="BC6" s="52">
        <v>0</v>
      </c>
      <c r="BD6" s="52">
        <v>0</v>
      </c>
      <c r="BE6" s="52">
        <v>0</v>
      </c>
      <c r="BF6" s="52">
        <v>0</v>
      </c>
      <c r="BG6" s="52">
        <v>0</v>
      </c>
      <c r="BH6" s="52">
        <v>0</v>
      </c>
      <c r="BI6" s="52">
        <v>0</v>
      </c>
      <c r="BJ6" s="52">
        <v>0</v>
      </c>
      <c r="BK6" s="52"/>
      <c r="BL6" s="52" t="s">
        <v>166</v>
      </c>
      <c r="BM6" s="52">
        <v>0</v>
      </c>
      <c r="BN6" s="52" t="s">
        <v>167</v>
      </c>
      <c r="BO6" s="52"/>
      <c r="BP6" s="52" t="s">
        <v>168</v>
      </c>
      <c r="BQ6" s="52" t="s">
        <v>154</v>
      </c>
      <c r="BR6" s="52" t="s">
        <v>162</v>
      </c>
      <c r="BS6" s="52">
        <v>9</v>
      </c>
      <c r="BT6" s="52">
        <v>3</v>
      </c>
      <c r="BU6" s="52">
        <v>9</v>
      </c>
      <c r="BV6" s="52">
        <v>0</v>
      </c>
      <c r="BW6" s="52">
        <v>0</v>
      </c>
      <c r="BX6" s="52">
        <v>43</v>
      </c>
      <c r="BY6" s="52">
        <v>43</v>
      </c>
      <c r="BZ6" s="52">
        <v>0</v>
      </c>
      <c r="CA6" s="52">
        <v>0</v>
      </c>
      <c r="CB6" s="52">
        <v>0</v>
      </c>
      <c r="CC6" s="52">
        <v>0</v>
      </c>
      <c r="CD6" s="52">
        <v>52</v>
      </c>
      <c r="CE6" s="52">
        <v>0</v>
      </c>
      <c r="CF6" s="52"/>
      <c r="CG6" s="52"/>
      <c r="CH6" s="52">
        <v>0</v>
      </c>
      <c r="CI6" s="52">
        <v>52</v>
      </c>
      <c r="CJ6" s="52">
        <v>52</v>
      </c>
      <c r="CK6" s="55">
        <v>45798</v>
      </c>
      <c r="CL6" s="52"/>
      <c r="CM6" s="52"/>
      <c r="CN6" s="52" t="s">
        <v>12</v>
      </c>
      <c r="CO6" s="52"/>
      <c r="CP6" s="52">
        <v>2</v>
      </c>
    </row>
    <row r="7" spans="1:94" x14ac:dyDescent="0.3">
      <c r="A7" s="52">
        <v>4</v>
      </c>
      <c r="B7" s="52" t="s">
        <v>154</v>
      </c>
      <c r="C7" s="52" t="s">
        <v>155</v>
      </c>
      <c r="D7" s="53" t="s">
        <v>156</v>
      </c>
      <c r="E7" s="52" t="s">
        <v>157</v>
      </c>
      <c r="F7" s="52">
        <v>2025</v>
      </c>
      <c r="G7" s="52" t="s">
        <v>164</v>
      </c>
      <c r="H7" s="52">
        <v>9349</v>
      </c>
      <c r="I7" s="52" t="s">
        <v>169</v>
      </c>
      <c r="J7" s="54"/>
      <c r="K7" s="52">
        <v>6000</v>
      </c>
      <c r="L7" s="55">
        <v>45684</v>
      </c>
      <c r="M7" s="52" t="s">
        <v>4</v>
      </c>
      <c r="N7" s="52"/>
      <c r="O7" s="52" t="s">
        <v>160</v>
      </c>
      <c r="P7" s="52" t="s">
        <v>9</v>
      </c>
      <c r="Q7" s="52" t="s">
        <v>1</v>
      </c>
      <c r="R7" s="55">
        <v>45566</v>
      </c>
      <c r="S7" s="52" t="s">
        <v>0</v>
      </c>
      <c r="T7" s="42">
        <v>44044</v>
      </c>
      <c r="U7"/>
      <c r="V7" s="52">
        <v>0</v>
      </c>
      <c r="W7" s="52">
        <v>0</v>
      </c>
      <c r="X7" s="52">
        <v>0</v>
      </c>
      <c r="Y7" s="52">
        <v>0</v>
      </c>
      <c r="Z7" s="52">
        <v>0</v>
      </c>
      <c r="AA7" s="52">
        <v>0</v>
      </c>
      <c r="AB7" s="52">
        <v>0</v>
      </c>
      <c r="AC7" s="52">
        <v>1</v>
      </c>
      <c r="AD7" s="52">
        <v>0</v>
      </c>
      <c r="AE7" s="52">
        <v>0</v>
      </c>
      <c r="AF7" s="52">
        <v>0</v>
      </c>
      <c r="AG7" s="52">
        <v>0</v>
      </c>
      <c r="AH7" s="52">
        <v>0</v>
      </c>
      <c r="AI7" s="52">
        <v>0</v>
      </c>
      <c r="AJ7" s="52">
        <v>0</v>
      </c>
      <c r="AK7" s="52">
        <v>0</v>
      </c>
      <c r="AL7" s="52">
        <v>0</v>
      </c>
      <c r="AM7" s="52">
        <v>0</v>
      </c>
      <c r="AN7" s="52">
        <v>0</v>
      </c>
      <c r="AO7" s="52">
        <v>0</v>
      </c>
      <c r="AP7" s="52">
        <v>0</v>
      </c>
      <c r="AQ7" s="52">
        <v>0</v>
      </c>
      <c r="AR7" s="52">
        <v>0</v>
      </c>
      <c r="AS7" s="52">
        <v>0</v>
      </c>
      <c r="AT7" s="52">
        <v>0</v>
      </c>
      <c r="AU7" s="52">
        <v>0</v>
      </c>
      <c r="AV7" s="52">
        <v>0</v>
      </c>
      <c r="AW7" s="52">
        <v>0</v>
      </c>
      <c r="AX7" s="52">
        <v>0</v>
      </c>
      <c r="AY7" s="52">
        <v>0</v>
      </c>
      <c r="AZ7" s="52">
        <v>0</v>
      </c>
      <c r="BA7" s="52">
        <v>0</v>
      </c>
      <c r="BB7" s="52">
        <v>0</v>
      </c>
      <c r="BC7" s="52">
        <v>0</v>
      </c>
      <c r="BD7" s="52">
        <v>0</v>
      </c>
      <c r="BE7" s="52">
        <v>0</v>
      </c>
      <c r="BF7" s="52">
        <v>0</v>
      </c>
      <c r="BG7" s="52">
        <v>0</v>
      </c>
      <c r="BH7" s="52">
        <v>0</v>
      </c>
      <c r="BI7" s="52">
        <v>0</v>
      </c>
      <c r="BJ7" s="52">
        <v>0</v>
      </c>
      <c r="BK7" s="52"/>
      <c r="BL7" s="52" t="s">
        <v>166</v>
      </c>
      <c r="BM7" s="52">
        <v>0</v>
      </c>
      <c r="BN7" s="52" t="s">
        <v>170</v>
      </c>
      <c r="BO7" s="52"/>
      <c r="BP7" s="52" t="s">
        <v>168</v>
      </c>
      <c r="BQ7" s="52" t="s">
        <v>154</v>
      </c>
      <c r="BR7" s="52" t="s">
        <v>162</v>
      </c>
      <c r="BS7" s="52">
        <v>9</v>
      </c>
      <c r="BT7" s="52">
        <v>1</v>
      </c>
      <c r="BU7" s="52">
        <v>0</v>
      </c>
      <c r="BV7" s="52">
        <v>0</v>
      </c>
      <c r="BW7" s="52">
        <v>0</v>
      </c>
      <c r="BX7" s="52">
        <v>0</v>
      </c>
      <c r="BY7" s="52">
        <v>0</v>
      </c>
      <c r="BZ7" s="52">
        <v>0</v>
      </c>
      <c r="CA7" s="52">
        <v>0</v>
      </c>
      <c r="CB7" s="52">
        <v>0</v>
      </c>
      <c r="CC7" s="52">
        <v>0</v>
      </c>
      <c r="CD7" s="52">
        <v>9</v>
      </c>
      <c r="CE7" s="52">
        <v>0</v>
      </c>
      <c r="CF7" s="52"/>
      <c r="CG7" s="52"/>
      <c r="CH7" s="52">
        <v>0</v>
      </c>
      <c r="CI7" s="52">
        <v>9</v>
      </c>
      <c r="CJ7" s="52">
        <v>9</v>
      </c>
      <c r="CK7" s="55">
        <v>45798</v>
      </c>
      <c r="CL7" s="52"/>
      <c r="CM7" s="52"/>
      <c r="CN7" s="52" t="s">
        <v>12</v>
      </c>
      <c r="CO7" s="52"/>
      <c r="CP7" s="52">
        <v>2</v>
      </c>
    </row>
    <row r="8" spans="1:94" x14ac:dyDescent="0.3">
      <c r="A8" s="52">
        <v>6</v>
      </c>
      <c r="B8" s="52" t="s">
        <v>154</v>
      </c>
      <c r="C8" s="52" t="s">
        <v>155</v>
      </c>
      <c r="D8" s="53" t="s">
        <v>156</v>
      </c>
      <c r="E8" s="52" t="s">
        <v>157</v>
      </c>
      <c r="F8" s="52">
        <v>2025</v>
      </c>
      <c r="G8" s="52" t="s">
        <v>171</v>
      </c>
      <c r="H8" s="52">
        <v>5849</v>
      </c>
      <c r="I8" s="52" t="s">
        <v>172</v>
      </c>
      <c r="J8" s="54"/>
      <c r="K8" s="52">
        <v>6218</v>
      </c>
      <c r="L8" s="55">
        <v>45684</v>
      </c>
      <c r="M8" s="52" t="s">
        <v>3</v>
      </c>
      <c r="N8" s="52" t="s">
        <v>173</v>
      </c>
      <c r="O8" s="52" t="s">
        <v>160</v>
      </c>
      <c r="P8" s="52" t="s">
        <v>9</v>
      </c>
      <c r="Q8" s="52" t="s">
        <v>1</v>
      </c>
      <c r="R8" s="55">
        <v>44618</v>
      </c>
      <c r="S8" s="52" t="s">
        <v>0</v>
      </c>
      <c r="T8" s="42">
        <v>34243</v>
      </c>
      <c r="U8"/>
      <c r="V8" s="52">
        <v>0</v>
      </c>
      <c r="W8" s="52">
        <v>0</v>
      </c>
      <c r="X8" s="52">
        <v>0</v>
      </c>
      <c r="Y8" s="52">
        <v>0</v>
      </c>
      <c r="Z8" s="52">
        <v>0</v>
      </c>
      <c r="AA8" s="52">
        <v>0</v>
      </c>
      <c r="AB8" s="52">
        <v>0</v>
      </c>
      <c r="AC8" s="52">
        <v>0</v>
      </c>
      <c r="AD8" s="52">
        <v>0</v>
      </c>
      <c r="AE8" s="52">
        <v>0</v>
      </c>
      <c r="AF8" s="52">
        <v>0</v>
      </c>
      <c r="AG8" s="52">
        <v>0</v>
      </c>
      <c r="AH8" s="52">
        <v>0</v>
      </c>
      <c r="AI8" s="52">
        <v>0</v>
      </c>
      <c r="AJ8" s="52">
        <v>0</v>
      </c>
      <c r="AK8" s="52">
        <v>0</v>
      </c>
      <c r="AL8" s="52">
        <v>0</v>
      </c>
      <c r="AM8" s="52">
        <v>0</v>
      </c>
      <c r="AN8" s="52">
        <v>0</v>
      </c>
      <c r="AO8" s="52">
        <v>0</v>
      </c>
      <c r="AP8" s="52">
        <v>0</v>
      </c>
      <c r="AQ8" s="52">
        <v>0</v>
      </c>
      <c r="AR8" s="52">
        <v>0</v>
      </c>
      <c r="AS8" s="52">
        <v>0</v>
      </c>
      <c r="AT8" s="52">
        <v>0</v>
      </c>
      <c r="AU8" s="52">
        <v>0</v>
      </c>
      <c r="AV8" s="52">
        <v>0</v>
      </c>
      <c r="AW8" s="52">
        <v>1</v>
      </c>
      <c r="AX8" s="52">
        <v>0</v>
      </c>
      <c r="AY8" s="52">
        <v>0</v>
      </c>
      <c r="AZ8" s="52">
        <v>0</v>
      </c>
      <c r="BA8" s="52">
        <v>0</v>
      </c>
      <c r="BB8" s="52">
        <v>0</v>
      </c>
      <c r="BC8" s="52">
        <v>0</v>
      </c>
      <c r="BD8" s="52">
        <v>0</v>
      </c>
      <c r="BE8" s="52">
        <v>0</v>
      </c>
      <c r="BF8" s="52">
        <v>0</v>
      </c>
      <c r="BG8" s="52">
        <v>0</v>
      </c>
      <c r="BH8" s="52">
        <v>0</v>
      </c>
      <c r="BI8" s="52">
        <v>0</v>
      </c>
      <c r="BJ8" s="52">
        <v>0</v>
      </c>
      <c r="BK8" s="52"/>
      <c r="BL8" s="52" t="s">
        <v>161</v>
      </c>
      <c r="BM8" s="52">
        <v>0</v>
      </c>
      <c r="BN8" s="52" t="s">
        <v>174</v>
      </c>
      <c r="BO8" s="52"/>
      <c r="BP8" s="52" t="s">
        <v>168</v>
      </c>
      <c r="BQ8" s="52" t="s">
        <v>154</v>
      </c>
      <c r="BR8" s="52" t="s">
        <v>175</v>
      </c>
      <c r="BS8" s="52">
        <v>0</v>
      </c>
      <c r="BT8" s="52">
        <v>0</v>
      </c>
      <c r="BU8" s="52">
        <v>0</v>
      </c>
      <c r="BV8" s="52">
        <v>0</v>
      </c>
      <c r="BW8" s="52">
        <v>0</v>
      </c>
      <c r="BX8" s="52">
        <v>0</v>
      </c>
      <c r="BY8" s="52">
        <v>0</v>
      </c>
      <c r="BZ8" s="52">
        <v>0</v>
      </c>
      <c r="CA8" s="52">
        <v>0</v>
      </c>
      <c r="CB8" s="52">
        <v>12</v>
      </c>
      <c r="CC8" s="52">
        <v>0</v>
      </c>
      <c r="CD8" s="52">
        <v>12</v>
      </c>
      <c r="CE8" s="52">
        <v>0</v>
      </c>
      <c r="CF8" s="52"/>
      <c r="CG8" s="52"/>
      <c r="CH8" s="52">
        <v>0</v>
      </c>
      <c r="CI8" s="52">
        <v>7</v>
      </c>
      <c r="CJ8" s="52">
        <v>12</v>
      </c>
      <c r="CK8" s="55">
        <v>45817</v>
      </c>
      <c r="CL8" s="52" t="s">
        <v>176</v>
      </c>
      <c r="CM8" s="52"/>
      <c r="CN8" s="52" t="s">
        <v>12</v>
      </c>
      <c r="CO8" s="52"/>
      <c r="CP8" s="52">
        <v>2</v>
      </c>
    </row>
    <row r="9" spans="1:94" x14ac:dyDescent="0.3">
      <c r="A9" s="52">
        <v>7</v>
      </c>
      <c r="B9" s="52" t="s">
        <v>154</v>
      </c>
      <c r="C9" s="52" t="s">
        <v>155</v>
      </c>
      <c r="D9" s="53" t="s">
        <v>156</v>
      </c>
      <c r="E9" s="52" t="s">
        <v>157</v>
      </c>
      <c r="F9" s="52">
        <v>2025</v>
      </c>
      <c r="G9" s="52" t="s">
        <v>177</v>
      </c>
      <c r="H9" s="52">
        <v>9354</v>
      </c>
      <c r="I9" s="52" t="s">
        <v>178</v>
      </c>
      <c r="J9" s="54"/>
      <c r="K9" s="52">
        <v>6325</v>
      </c>
      <c r="L9" s="55">
        <v>45684</v>
      </c>
      <c r="M9" s="52" t="s">
        <v>4</v>
      </c>
      <c r="N9" s="52"/>
      <c r="O9" s="52" t="s">
        <v>160</v>
      </c>
      <c r="P9" s="52" t="s">
        <v>9</v>
      </c>
      <c r="Q9" s="52" t="s">
        <v>1</v>
      </c>
      <c r="R9" s="55">
        <v>45566</v>
      </c>
      <c r="S9" s="52" t="s">
        <v>0</v>
      </c>
      <c r="T9" s="42">
        <v>41183</v>
      </c>
      <c r="U9"/>
      <c r="V9" s="52">
        <v>0</v>
      </c>
      <c r="W9" s="52">
        <v>0</v>
      </c>
      <c r="X9" s="52">
        <v>0</v>
      </c>
      <c r="Y9" s="52">
        <v>0</v>
      </c>
      <c r="Z9" s="52">
        <v>0</v>
      </c>
      <c r="AA9" s="52">
        <v>0</v>
      </c>
      <c r="AB9" s="52">
        <v>0</v>
      </c>
      <c r="AC9" s="52">
        <v>0</v>
      </c>
      <c r="AD9" s="52">
        <v>0</v>
      </c>
      <c r="AE9" s="52">
        <v>0</v>
      </c>
      <c r="AF9" s="52">
        <v>0</v>
      </c>
      <c r="AG9" s="52">
        <v>0</v>
      </c>
      <c r="AH9" s="52">
        <v>0</v>
      </c>
      <c r="AI9" s="52">
        <v>0</v>
      </c>
      <c r="AJ9" s="52">
        <v>0</v>
      </c>
      <c r="AK9" s="52">
        <v>0</v>
      </c>
      <c r="AL9" s="52">
        <v>0</v>
      </c>
      <c r="AM9" s="52">
        <v>0</v>
      </c>
      <c r="AN9" s="52">
        <v>0</v>
      </c>
      <c r="AO9" s="52">
        <v>0</v>
      </c>
      <c r="AP9" s="52">
        <v>0</v>
      </c>
      <c r="AQ9" s="52">
        <v>0</v>
      </c>
      <c r="AR9" s="52">
        <v>0</v>
      </c>
      <c r="AS9" s="52">
        <v>0</v>
      </c>
      <c r="AT9" s="52">
        <v>0</v>
      </c>
      <c r="AU9" s="52">
        <v>0</v>
      </c>
      <c r="AV9" s="52">
        <v>0</v>
      </c>
      <c r="AW9" s="52">
        <v>0</v>
      </c>
      <c r="AX9" s="52">
        <v>0</v>
      </c>
      <c r="AY9" s="52">
        <v>0</v>
      </c>
      <c r="AZ9" s="52">
        <v>0</v>
      </c>
      <c r="BA9" s="52">
        <v>0</v>
      </c>
      <c r="BB9" s="52">
        <v>0</v>
      </c>
      <c r="BC9" s="52">
        <v>0</v>
      </c>
      <c r="BD9" s="52">
        <v>0</v>
      </c>
      <c r="BE9" s="52">
        <v>0</v>
      </c>
      <c r="BF9" s="52">
        <v>0</v>
      </c>
      <c r="BG9" s="52">
        <v>0</v>
      </c>
      <c r="BH9" s="52">
        <v>0</v>
      </c>
      <c r="BI9" s="52">
        <v>0</v>
      </c>
      <c r="BJ9" s="52">
        <v>1</v>
      </c>
      <c r="BK9" s="52" t="s">
        <v>179</v>
      </c>
      <c r="BL9" s="52" t="s">
        <v>166</v>
      </c>
      <c r="BM9" s="52">
        <v>0</v>
      </c>
      <c r="BN9" s="52" t="s">
        <v>180</v>
      </c>
      <c r="BO9" s="52"/>
      <c r="BP9" s="52" t="s">
        <v>168</v>
      </c>
      <c r="BQ9" s="52" t="s">
        <v>154</v>
      </c>
      <c r="BR9" s="52" t="s">
        <v>181</v>
      </c>
      <c r="BS9" s="52">
        <v>2</v>
      </c>
      <c r="BT9" s="52">
        <v>1</v>
      </c>
      <c r="BU9" s="52">
        <v>0</v>
      </c>
      <c r="BV9" s="52">
        <v>0</v>
      </c>
      <c r="BW9" s="52">
        <v>0</v>
      </c>
      <c r="BX9" s="52">
        <v>5</v>
      </c>
      <c r="BY9" s="52">
        <v>0</v>
      </c>
      <c r="BZ9" s="52">
        <v>0</v>
      </c>
      <c r="CA9" s="52">
        <v>0</v>
      </c>
      <c r="CB9" s="52">
        <v>0</v>
      </c>
      <c r="CC9" s="52">
        <v>0</v>
      </c>
      <c r="CD9" s="52">
        <v>7</v>
      </c>
      <c r="CE9" s="52">
        <v>0</v>
      </c>
      <c r="CF9" s="52"/>
      <c r="CG9" s="52"/>
      <c r="CH9" s="52">
        <v>0</v>
      </c>
      <c r="CI9" s="52">
        <v>7</v>
      </c>
      <c r="CJ9" s="52">
        <v>7</v>
      </c>
      <c r="CK9" s="55">
        <v>45798</v>
      </c>
      <c r="CL9" s="52"/>
      <c r="CM9" s="52"/>
      <c r="CN9" s="52" t="s">
        <v>12</v>
      </c>
      <c r="CO9" s="52"/>
      <c r="CP9" s="52">
        <v>2</v>
      </c>
    </row>
    <row r="10" spans="1:94" x14ac:dyDescent="0.3">
      <c r="A10" s="52">
        <v>8</v>
      </c>
      <c r="B10" s="52" t="s">
        <v>154</v>
      </c>
      <c r="C10" s="52" t="s">
        <v>155</v>
      </c>
      <c r="D10" s="53" t="s">
        <v>156</v>
      </c>
      <c r="E10" s="52" t="s">
        <v>157</v>
      </c>
      <c r="F10" s="52">
        <v>2025</v>
      </c>
      <c r="G10" s="52" t="s">
        <v>182</v>
      </c>
      <c r="H10" s="52">
        <v>6536</v>
      </c>
      <c r="I10" s="52" t="s">
        <v>182</v>
      </c>
      <c r="J10" s="54"/>
      <c r="K10" s="52">
        <v>6536</v>
      </c>
      <c r="L10" s="55">
        <v>45684</v>
      </c>
      <c r="M10" s="52" t="s">
        <v>3</v>
      </c>
      <c r="N10" s="52" t="s">
        <v>173</v>
      </c>
      <c r="O10" s="52" t="s">
        <v>160</v>
      </c>
      <c r="P10" s="52" t="s">
        <v>9</v>
      </c>
      <c r="Q10" s="52" t="s">
        <v>1</v>
      </c>
      <c r="R10" s="55">
        <v>45200</v>
      </c>
      <c r="S10" s="52" t="s">
        <v>0</v>
      </c>
      <c r="T10" s="42">
        <v>42122</v>
      </c>
      <c r="U10"/>
      <c r="V10" s="52">
        <v>0</v>
      </c>
      <c r="W10" s="52">
        <v>0</v>
      </c>
      <c r="X10" s="52">
        <v>0</v>
      </c>
      <c r="Y10" s="52">
        <v>0</v>
      </c>
      <c r="Z10" s="52">
        <v>0</v>
      </c>
      <c r="AA10" s="52">
        <v>0</v>
      </c>
      <c r="AB10" s="52">
        <v>0</v>
      </c>
      <c r="AC10" s="52">
        <v>0</v>
      </c>
      <c r="AD10" s="52">
        <v>0</v>
      </c>
      <c r="AE10" s="52">
        <v>0</v>
      </c>
      <c r="AF10" s="52">
        <v>0</v>
      </c>
      <c r="AG10" s="52">
        <v>0</v>
      </c>
      <c r="AH10" s="52">
        <v>0</v>
      </c>
      <c r="AI10" s="52">
        <v>0</v>
      </c>
      <c r="AJ10" s="52">
        <v>0</v>
      </c>
      <c r="AK10" s="52">
        <v>0</v>
      </c>
      <c r="AL10" s="52">
        <v>0</v>
      </c>
      <c r="AM10" s="52">
        <v>0</v>
      </c>
      <c r="AN10" s="52">
        <v>0</v>
      </c>
      <c r="AO10" s="52">
        <v>0</v>
      </c>
      <c r="AP10" s="52">
        <v>0</v>
      </c>
      <c r="AQ10" s="52">
        <v>0</v>
      </c>
      <c r="AR10" s="52">
        <v>0</v>
      </c>
      <c r="AS10" s="52">
        <v>0</v>
      </c>
      <c r="AT10" s="52">
        <v>0</v>
      </c>
      <c r="AU10" s="52">
        <v>0</v>
      </c>
      <c r="AV10" s="52">
        <v>0</v>
      </c>
      <c r="AW10" s="52">
        <v>0</v>
      </c>
      <c r="AX10" s="52">
        <v>0</v>
      </c>
      <c r="AY10" s="52">
        <v>0</v>
      </c>
      <c r="AZ10" s="52">
        <v>0</v>
      </c>
      <c r="BA10" s="52">
        <v>0</v>
      </c>
      <c r="BB10" s="52">
        <v>0</v>
      </c>
      <c r="BC10" s="52">
        <v>0</v>
      </c>
      <c r="BD10" s="52">
        <v>0</v>
      </c>
      <c r="BE10" s="52">
        <v>0</v>
      </c>
      <c r="BF10" s="52">
        <v>0</v>
      </c>
      <c r="BG10" s="52">
        <v>0</v>
      </c>
      <c r="BH10" s="52">
        <v>0</v>
      </c>
      <c r="BI10" s="52">
        <v>0</v>
      </c>
      <c r="BJ10" s="52">
        <v>1</v>
      </c>
      <c r="BK10" s="52"/>
      <c r="BL10" s="52" t="s">
        <v>161</v>
      </c>
      <c r="BM10" s="52">
        <v>0</v>
      </c>
      <c r="BN10" s="52" t="s">
        <v>183</v>
      </c>
      <c r="BO10" s="52"/>
      <c r="BP10" s="52" t="s">
        <v>168</v>
      </c>
      <c r="BQ10" s="52" t="s">
        <v>154</v>
      </c>
      <c r="BR10" s="52" t="s">
        <v>181</v>
      </c>
      <c r="BS10" s="52">
        <v>0</v>
      </c>
      <c r="BT10" s="52">
        <v>0</v>
      </c>
      <c r="BU10" s="52">
        <v>0</v>
      </c>
      <c r="BV10" s="52">
        <v>0</v>
      </c>
      <c r="BW10" s="52">
        <v>0</v>
      </c>
      <c r="BX10" s="52">
        <v>291</v>
      </c>
      <c r="BY10" s="52">
        <v>0</v>
      </c>
      <c r="BZ10" s="52">
        <v>0</v>
      </c>
      <c r="CA10" s="52">
        <v>0</v>
      </c>
      <c r="CB10" s="52">
        <v>0</v>
      </c>
      <c r="CC10" s="52">
        <v>0</v>
      </c>
      <c r="CD10" s="52">
        <v>291</v>
      </c>
      <c r="CE10" s="52">
        <v>0</v>
      </c>
      <c r="CF10" s="52"/>
      <c r="CG10" s="52"/>
      <c r="CH10" s="52">
        <v>86</v>
      </c>
      <c r="CI10" s="52">
        <v>287</v>
      </c>
      <c r="CJ10" s="52">
        <v>377</v>
      </c>
      <c r="CK10" s="55">
        <v>45799</v>
      </c>
      <c r="CL10" s="52"/>
      <c r="CM10" s="52"/>
      <c r="CN10" s="52" t="s">
        <v>12</v>
      </c>
      <c r="CO10" s="52"/>
      <c r="CP10" s="52">
        <v>2</v>
      </c>
    </row>
    <row r="11" spans="1:94" x14ac:dyDescent="0.3">
      <c r="A11" s="52">
        <v>9</v>
      </c>
      <c r="B11" s="52" t="s">
        <v>154</v>
      </c>
      <c r="C11" s="52" t="s">
        <v>155</v>
      </c>
      <c r="D11" s="53" t="s">
        <v>156</v>
      </c>
      <c r="E11" s="52" t="s">
        <v>157</v>
      </c>
      <c r="F11" s="52">
        <v>2025</v>
      </c>
      <c r="G11" s="52" t="s">
        <v>184</v>
      </c>
      <c r="H11" s="52">
        <v>8093</v>
      </c>
      <c r="I11" s="52" t="s">
        <v>184</v>
      </c>
      <c r="J11" s="54"/>
      <c r="K11" s="52">
        <v>8093</v>
      </c>
      <c r="L11" s="55">
        <v>45684</v>
      </c>
      <c r="M11" s="52" t="s">
        <v>5</v>
      </c>
      <c r="N11" s="52"/>
      <c r="O11" s="52" t="s">
        <v>160</v>
      </c>
      <c r="P11" s="52" t="s">
        <v>12</v>
      </c>
      <c r="Q11" s="52" t="s">
        <v>1</v>
      </c>
      <c r="R11" s="55">
        <v>45200</v>
      </c>
      <c r="S11" s="52" t="s">
        <v>0</v>
      </c>
      <c r="T11" s="42">
        <v>41913</v>
      </c>
      <c r="U11"/>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1</v>
      </c>
      <c r="AN11" s="52">
        <v>0</v>
      </c>
      <c r="AO11" s="52">
        <v>0</v>
      </c>
      <c r="AP11" s="52">
        <v>0</v>
      </c>
      <c r="AQ11" s="52">
        <v>0</v>
      </c>
      <c r="AR11" s="52">
        <v>0</v>
      </c>
      <c r="AS11" s="52">
        <v>0</v>
      </c>
      <c r="AT11" s="52">
        <v>0</v>
      </c>
      <c r="AU11" s="52">
        <v>0</v>
      </c>
      <c r="AV11" s="52">
        <v>0</v>
      </c>
      <c r="AW11" s="52">
        <v>0</v>
      </c>
      <c r="AX11" s="52">
        <v>0</v>
      </c>
      <c r="AY11" s="52">
        <v>0</v>
      </c>
      <c r="AZ11" s="52">
        <v>0</v>
      </c>
      <c r="BA11" s="52">
        <v>0</v>
      </c>
      <c r="BB11" s="52">
        <v>0</v>
      </c>
      <c r="BC11" s="52">
        <v>0</v>
      </c>
      <c r="BD11" s="52">
        <v>0</v>
      </c>
      <c r="BE11" s="52">
        <v>0</v>
      </c>
      <c r="BF11" s="52">
        <v>0</v>
      </c>
      <c r="BG11" s="52">
        <v>0</v>
      </c>
      <c r="BH11" s="52">
        <v>0</v>
      </c>
      <c r="BI11" s="52">
        <v>0</v>
      </c>
      <c r="BJ11" s="52">
        <v>0</v>
      </c>
      <c r="BK11" s="52"/>
      <c r="BL11" s="52" t="s">
        <v>166</v>
      </c>
      <c r="BM11" s="52">
        <v>0</v>
      </c>
      <c r="BN11" s="52" t="s">
        <v>185</v>
      </c>
      <c r="BO11" s="52"/>
      <c r="BP11" s="52" t="s">
        <v>168</v>
      </c>
      <c r="BQ11" s="52" t="s">
        <v>154</v>
      </c>
      <c r="BR11" s="52" t="s">
        <v>181</v>
      </c>
      <c r="BS11" s="52">
        <v>0</v>
      </c>
      <c r="BT11" s="52">
        <v>0</v>
      </c>
      <c r="BU11" s="52">
        <v>0</v>
      </c>
      <c r="BV11" s="52">
        <v>0</v>
      </c>
      <c r="BW11" s="52">
        <v>0</v>
      </c>
      <c r="BX11" s="52">
        <v>221</v>
      </c>
      <c r="BY11" s="52">
        <v>221</v>
      </c>
      <c r="BZ11" s="52">
        <v>0</v>
      </c>
      <c r="CA11" s="52">
        <v>221</v>
      </c>
      <c r="CB11" s="52">
        <v>0</v>
      </c>
      <c r="CC11" s="52">
        <v>0</v>
      </c>
      <c r="CD11" s="52">
        <v>221</v>
      </c>
      <c r="CE11" s="52">
        <v>0</v>
      </c>
      <c r="CF11" s="52"/>
      <c r="CG11" s="52"/>
      <c r="CH11" s="52">
        <v>0</v>
      </c>
      <c r="CI11" s="52">
        <v>219</v>
      </c>
      <c r="CJ11" s="52">
        <v>221</v>
      </c>
      <c r="CK11" s="55">
        <v>45799</v>
      </c>
      <c r="CL11" s="52"/>
      <c r="CM11" s="52"/>
      <c r="CN11" s="52" t="s">
        <v>12</v>
      </c>
      <c r="CO11" s="52"/>
      <c r="CP11" s="52">
        <v>2</v>
      </c>
    </row>
    <row r="12" spans="1:94" x14ac:dyDescent="0.3">
      <c r="A12" s="52">
        <v>10</v>
      </c>
      <c r="B12" s="52" t="s">
        <v>154</v>
      </c>
      <c r="C12" s="52" t="s">
        <v>155</v>
      </c>
      <c r="D12" s="53" t="s">
        <v>156</v>
      </c>
      <c r="E12" s="52" t="s">
        <v>157</v>
      </c>
      <c r="F12" s="52">
        <v>2025</v>
      </c>
      <c r="G12" s="52" t="s">
        <v>186</v>
      </c>
      <c r="H12" s="52">
        <v>9240</v>
      </c>
      <c r="I12" s="52" t="s">
        <v>186</v>
      </c>
      <c r="J12" s="54"/>
      <c r="K12" s="52">
        <v>9240</v>
      </c>
      <c r="L12" s="55">
        <v>45684</v>
      </c>
      <c r="M12" s="52" t="s">
        <v>2</v>
      </c>
      <c r="N12" s="52"/>
      <c r="O12" s="52" t="s">
        <v>160</v>
      </c>
      <c r="P12" s="52" t="s">
        <v>9</v>
      </c>
      <c r="Q12" s="52" t="s">
        <v>1</v>
      </c>
      <c r="R12" s="55">
        <v>45200</v>
      </c>
      <c r="S12" s="52" t="s">
        <v>0</v>
      </c>
      <c r="T12" s="42">
        <v>41913</v>
      </c>
      <c r="U12"/>
      <c r="V12" s="52">
        <v>0</v>
      </c>
      <c r="W12" s="52">
        <v>0</v>
      </c>
      <c r="X12" s="52">
        <v>0</v>
      </c>
      <c r="Y12" s="52">
        <v>0</v>
      </c>
      <c r="Z12" s="52">
        <v>0</v>
      </c>
      <c r="AA12" s="52">
        <v>0</v>
      </c>
      <c r="AB12" s="52">
        <v>0</v>
      </c>
      <c r="AC12" s="52">
        <v>0</v>
      </c>
      <c r="AD12" s="52">
        <v>0</v>
      </c>
      <c r="AE12" s="52">
        <v>0</v>
      </c>
      <c r="AF12" s="52">
        <v>0</v>
      </c>
      <c r="AG12" s="52">
        <v>0</v>
      </c>
      <c r="AH12" s="52">
        <v>0</v>
      </c>
      <c r="AI12" s="52">
        <v>0</v>
      </c>
      <c r="AJ12" s="52">
        <v>0</v>
      </c>
      <c r="AK12" s="52">
        <v>0</v>
      </c>
      <c r="AL12" s="52">
        <v>0</v>
      </c>
      <c r="AM12" s="52">
        <v>0</v>
      </c>
      <c r="AN12" s="52">
        <v>0</v>
      </c>
      <c r="AO12" s="52">
        <v>0</v>
      </c>
      <c r="AP12" s="52">
        <v>0</v>
      </c>
      <c r="AQ12" s="52">
        <v>0</v>
      </c>
      <c r="AR12" s="52">
        <v>0</v>
      </c>
      <c r="AS12" s="52">
        <v>1</v>
      </c>
      <c r="AT12" s="52">
        <v>0</v>
      </c>
      <c r="AU12" s="52">
        <v>0</v>
      </c>
      <c r="AV12" s="52">
        <v>0</v>
      </c>
      <c r="AW12" s="52">
        <v>0</v>
      </c>
      <c r="AX12" s="52">
        <v>0</v>
      </c>
      <c r="AY12" s="52">
        <v>0</v>
      </c>
      <c r="AZ12" s="52">
        <v>0</v>
      </c>
      <c r="BA12" s="52">
        <v>0</v>
      </c>
      <c r="BB12" s="52">
        <v>0</v>
      </c>
      <c r="BC12" s="52">
        <v>0</v>
      </c>
      <c r="BD12" s="52">
        <v>0</v>
      </c>
      <c r="BE12" s="52">
        <v>0</v>
      </c>
      <c r="BF12" s="52">
        <v>0</v>
      </c>
      <c r="BG12" s="52">
        <v>0</v>
      </c>
      <c r="BH12" s="52">
        <v>0</v>
      </c>
      <c r="BI12" s="52">
        <v>0</v>
      </c>
      <c r="BJ12" s="52">
        <v>0</v>
      </c>
      <c r="BK12" s="52"/>
      <c r="BL12" s="52" t="s">
        <v>187</v>
      </c>
      <c r="BM12" s="52">
        <v>0</v>
      </c>
      <c r="BN12" s="52" t="s">
        <v>188</v>
      </c>
      <c r="BO12" s="52"/>
      <c r="BP12" s="52" t="s">
        <v>168</v>
      </c>
      <c r="BQ12" s="52" t="s">
        <v>154</v>
      </c>
      <c r="BR12" s="52" t="s">
        <v>175</v>
      </c>
      <c r="BS12" s="52">
        <v>0</v>
      </c>
      <c r="BT12" s="52">
        <v>0</v>
      </c>
      <c r="BU12" s="52">
        <v>0</v>
      </c>
      <c r="BV12" s="52">
        <v>0</v>
      </c>
      <c r="BW12" s="52">
        <v>0</v>
      </c>
      <c r="BX12" s="52">
        <v>52</v>
      </c>
      <c r="BY12" s="52">
        <v>52</v>
      </c>
      <c r="BZ12" s="52">
        <v>0</v>
      </c>
      <c r="CA12" s="52">
        <v>0</v>
      </c>
      <c r="CB12" s="52">
        <v>0</v>
      </c>
      <c r="CC12" s="52">
        <v>0</v>
      </c>
      <c r="CD12" s="52">
        <v>52</v>
      </c>
      <c r="CE12" s="52">
        <v>0</v>
      </c>
      <c r="CF12" s="52"/>
      <c r="CG12" s="52"/>
      <c r="CH12" s="52">
        <v>0</v>
      </c>
      <c r="CI12" s="52">
        <v>40</v>
      </c>
      <c r="CJ12" s="52">
        <v>52</v>
      </c>
      <c r="CK12" s="55">
        <v>45798</v>
      </c>
      <c r="CL12" s="52"/>
      <c r="CM12" s="52"/>
      <c r="CN12" s="52" t="s">
        <v>12</v>
      </c>
      <c r="CO12" s="52"/>
      <c r="CP12" s="52">
        <v>2</v>
      </c>
    </row>
    <row r="13" spans="1:94" x14ac:dyDescent="0.3">
      <c r="A13" s="52">
        <v>11</v>
      </c>
      <c r="B13" s="52" t="s">
        <v>154</v>
      </c>
      <c r="C13" s="52" t="s">
        <v>155</v>
      </c>
      <c r="D13" s="53" t="s">
        <v>156</v>
      </c>
      <c r="E13" s="52" t="s">
        <v>157</v>
      </c>
      <c r="F13" s="52">
        <v>2025</v>
      </c>
      <c r="G13" s="52" t="s">
        <v>189</v>
      </c>
      <c r="H13" s="52">
        <v>9352</v>
      </c>
      <c r="I13" s="52" t="s">
        <v>189</v>
      </c>
      <c r="J13" s="54"/>
      <c r="K13" s="52">
        <v>9352</v>
      </c>
      <c r="L13" s="55">
        <v>45684</v>
      </c>
      <c r="M13" s="52" t="s">
        <v>2</v>
      </c>
      <c r="N13" s="52"/>
      <c r="O13" s="52" t="s">
        <v>160</v>
      </c>
      <c r="P13" s="52" t="s">
        <v>9</v>
      </c>
      <c r="Q13" s="52" t="s">
        <v>1</v>
      </c>
      <c r="R13" s="55">
        <v>45323</v>
      </c>
      <c r="S13" s="52" t="s">
        <v>0</v>
      </c>
      <c r="T13" s="42">
        <v>41913</v>
      </c>
      <c r="U13"/>
      <c r="V13" s="52">
        <v>0</v>
      </c>
      <c r="W13" s="52">
        <v>0</v>
      </c>
      <c r="X13" s="52">
        <v>0</v>
      </c>
      <c r="Y13" s="52">
        <v>0</v>
      </c>
      <c r="Z13" s="52">
        <v>0</v>
      </c>
      <c r="AA13" s="52">
        <v>0</v>
      </c>
      <c r="AB13" s="52">
        <v>0</v>
      </c>
      <c r="AC13" s="52">
        <v>0</v>
      </c>
      <c r="AD13" s="52">
        <v>0</v>
      </c>
      <c r="AE13" s="52">
        <v>0</v>
      </c>
      <c r="AF13" s="52">
        <v>0</v>
      </c>
      <c r="AG13" s="52">
        <v>0</v>
      </c>
      <c r="AH13" s="52">
        <v>0</v>
      </c>
      <c r="AI13" s="52">
        <v>0</v>
      </c>
      <c r="AJ13" s="52">
        <v>0</v>
      </c>
      <c r="AK13" s="52">
        <v>0</v>
      </c>
      <c r="AL13" s="52">
        <v>0</v>
      </c>
      <c r="AM13" s="52">
        <v>0</v>
      </c>
      <c r="AN13" s="52">
        <v>0</v>
      </c>
      <c r="AO13" s="52">
        <v>0</v>
      </c>
      <c r="AP13" s="52">
        <v>0</v>
      </c>
      <c r="AQ13" s="52">
        <v>0</v>
      </c>
      <c r="AR13" s="52">
        <v>0</v>
      </c>
      <c r="AS13" s="52">
        <v>0</v>
      </c>
      <c r="AT13" s="52">
        <v>0</v>
      </c>
      <c r="AU13" s="52">
        <v>0</v>
      </c>
      <c r="AV13" s="52">
        <v>0</v>
      </c>
      <c r="AW13" s="52">
        <v>0</v>
      </c>
      <c r="AX13" s="52">
        <v>0</v>
      </c>
      <c r="AY13" s="52">
        <v>0</v>
      </c>
      <c r="AZ13" s="52">
        <v>0</v>
      </c>
      <c r="BA13" s="52">
        <v>0</v>
      </c>
      <c r="BB13" s="52">
        <v>0</v>
      </c>
      <c r="BC13" s="52">
        <v>0</v>
      </c>
      <c r="BD13" s="52">
        <v>0</v>
      </c>
      <c r="BE13" s="52">
        <v>0</v>
      </c>
      <c r="BF13" s="52">
        <v>0</v>
      </c>
      <c r="BG13" s="52">
        <v>0</v>
      </c>
      <c r="BH13" s="52">
        <v>0</v>
      </c>
      <c r="BI13" s="52">
        <v>0</v>
      </c>
      <c r="BJ13" s="52">
        <v>1</v>
      </c>
      <c r="BK13" s="52"/>
      <c r="BL13" s="52" t="s">
        <v>161</v>
      </c>
      <c r="BM13" s="52">
        <v>0</v>
      </c>
      <c r="BN13" s="52" t="s">
        <v>190</v>
      </c>
      <c r="BO13" s="52"/>
      <c r="BP13" s="52" t="s">
        <v>168</v>
      </c>
      <c r="BQ13" s="52" t="s">
        <v>154</v>
      </c>
      <c r="BR13" s="52" t="s">
        <v>191</v>
      </c>
      <c r="BS13" s="52">
        <v>6</v>
      </c>
      <c r="BT13" s="52">
        <v>2</v>
      </c>
      <c r="BU13" s="52">
        <v>0</v>
      </c>
      <c r="BV13" s="52">
        <v>0</v>
      </c>
      <c r="BW13" s="52">
        <v>0</v>
      </c>
      <c r="BX13" s="52">
        <v>6</v>
      </c>
      <c r="BY13" s="52">
        <v>0</v>
      </c>
      <c r="BZ13" s="52">
        <v>0</v>
      </c>
      <c r="CA13" s="52">
        <v>0</v>
      </c>
      <c r="CB13" s="52">
        <v>0</v>
      </c>
      <c r="CC13" s="52">
        <v>0</v>
      </c>
      <c r="CD13" s="52">
        <v>12</v>
      </c>
      <c r="CE13" s="52">
        <v>0</v>
      </c>
      <c r="CF13" s="52"/>
      <c r="CG13" s="52"/>
      <c r="CH13" s="52">
        <v>0</v>
      </c>
      <c r="CI13" s="52">
        <v>9</v>
      </c>
      <c r="CJ13" s="52">
        <v>12</v>
      </c>
      <c r="CK13" s="55">
        <v>45817</v>
      </c>
      <c r="CL13" s="52"/>
      <c r="CM13" s="52"/>
      <c r="CN13" s="52" t="s">
        <v>12</v>
      </c>
      <c r="CO13" s="52"/>
      <c r="CP13" s="52">
        <v>2</v>
      </c>
    </row>
    <row r="14" spans="1:94" x14ac:dyDescent="0.3">
      <c r="A14" s="52">
        <v>12</v>
      </c>
      <c r="B14" s="52" t="s">
        <v>154</v>
      </c>
      <c r="C14" s="52" t="s">
        <v>155</v>
      </c>
      <c r="D14" s="53" t="s">
        <v>156</v>
      </c>
      <c r="E14" s="52" t="s">
        <v>157</v>
      </c>
      <c r="F14" s="52">
        <v>2025</v>
      </c>
      <c r="G14" s="52" t="s">
        <v>192</v>
      </c>
      <c r="H14" s="52">
        <v>9367</v>
      </c>
      <c r="I14" s="52" t="s">
        <v>193</v>
      </c>
      <c r="J14" s="54"/>
      <c r="K14" s="52">
        <v>9367</v>
      </c>
      <c r="L14" s="55">
        <v>45684</v>
      </c>
      <c r="M14" s="52" t="s">
        <v>5</v>
      </c>
      <c r="N14" s="52"/>
      <c r="O14" s="52" t="s">
        <v>160</v>
      </c>
      <c r="P14" s="52" t="s">
        <v>9</v>
      </c>
      <c r="Q14" s="52" t="s">
        <v>1</v>
      </c>
      <c r="R14" s="55">
        <v>45200</v>
      </c>
      <c r="S14" s="52" t="s">
        <v>0</v>
      </c>
      <c r="T14" s="42">
        <v>38991</v>
      </c>
      <c r="U14"/>
      <c r="V14" s="52">
        <v>0</v>
      </c>
      <c r="W14" s="52">
        <v>0</v>
      </c>
      <c r="X14" s="52">
        <v>0</v>
      </c>
      <c r="Y14" s="52">
        <v>0</v>
      </c>
      <c r="Z14" s="52">
        <v>0</v>
      </c>
      <c r="AA14" s="52">
        <v>0</v>
      </c>
      <c r="AB14" s="52">
        <v>1</v>
      </c>
      <c r="AC14" s="52">
        <v>0</v>
      </c>
      <c r="AD14" s="52">
        <v>0</v>
      </c>
      <c r="AE14" s="52">
        <v>0</v>
      </c>
      <c r="AF14" s="52">
        <v>0</v>
      </c>
      <c r="AG14" s="52">
        <v>0</v>
      </c>
      <c r="AH14" s="52">
        <v>0</v>
      </c>
      <c r="AI14" s="52">
        <v>0</v>
      </c>
      <c r="AJ14" s="52">
        <v>0</v>
      </c>
      <c r="AK14" s="52">
        <v>0</v>
      </c>
      <c r="AL14" s="52">
        <v>0</v>
      </c>
      <c r="AM14" s="52">
        <v>0</v>
      </c>
      <c r="AN14" s="52">
        <v>0</v>
      </c>
      <c r="AO14" s="52">
        <v>0</v>
      </c>
      <c r="AP14" s="52">
        <v>0</v>
      </c>
      <c r="AQ14" s="52">
        <v>0</v>
      </c>
      <c r="AR14" s="52">
        <v>0</v>
      </c>
      <c r="AS14" s="52">
        <v>0</v>
      </c>
      <c r="AT14" s="52">
        <v>0</v>
      </c>
      <c r="AU14" s="52">
        <v>0</v>
      </c>
      <c r="AV14" s="52">
        <v>0</v>
      </c>
      <c r="AW14" s="52">
        <v>0</v>
      </c>
      <c r="AX14" s="52">
        <v>0</v>
      </c>
      <c r="AY14" s="52">
        <v>0</v>
      </c>
      <c r="AZ14" s="52">
        <v>0</v>
      </c>
      <c r="BA14" s="52">
        <v>0</v>
      </c>
      <c r="BB14" s="52">
        <v>0</v>
      </c>
      <c r="BC14" s="52">
        <v>0</v>
      </c>
      <c r="BD14" s="52">
        <v>0</v>
      </c>
      <c r="BE14" s="52">
        <v>0</v>
      </c>
      <c r="BF14" s="52">
        <v>0</v>
      </c>
      <c r="BG14" s="52">
        <v>0</v>
      </c>
      <c r="BH14" s="52">
        <v>0</v>
      </c>
      <c r="BI14" s="52">
        <v>0</v>
      </c>
      <c r="BJ14" s="52">
        <v>1</v>
      </c>
      <c r="BK14" s="52" t="s">
        <v>194</v>
      </c>
      <c r="BL14" s="52" t="s">
        <v>166</v>
      </c>
      <c r="BM14" s="52">
        <v>0</v>
      </c>
      <c r="BN14" s="52" t="s">
        <v>195</v>
      </c>
      <c r="BO14" s="52"/>
      <c r="BP14" s="52" t="s">
        <v>168</v>
      </c>
      <c r="BQ14" s="52" t="s">
        <v>154</v>
      </c>
      <c r="BR14" s="52" t="s">
        <v>162</v>
      </c>
      <c r="BS14" s="52">
        <v>0</v>
      </c>
      <c r="BT14" s="52">
        <v>0</v>
      </c>
      <c r="BU14" s="52">
        <v>0</v>
      </c>
      <c r="BV14" s="52">
        <v>0</v>
      </c>
      <c r="BW14" s="52">
        <v>0</v>
      </c>
      <c r="BX14" s="52">
        <v>46</v>
      </c>
      <c r="BY14" s="52">
        <v>0</v>
      </c>
      <c r="BZ14" s="52">
        <v>0</v>
      </c>
      <c r="CA14" s="52">
        <v>46</v>
      </c>
      <c r="CB14" s="52">
        <v>0</v>
      </c>
      <c r="CC14" s="52">
        <v>0</v>
      </c>
      <c r="CD14" s="52">
        <v>46</v>
      </c>
      <c r="CE14" s="52">
        <v>0</v>
      </c>
      <c r="CF14" s="52"/>
      <c r="CG14" s="52"/>
      <c r="CH14" s="52">
        <v>0</v>
      </c>
      <c r="CI14" s="52">
        <v>46</v>
      </c>
      <c r="CJ14" s="52">
        <v>46</v>
      </c>
      <c r="CK14" s="55">
        <v>45798</v>
      </c>
      <c r="CL14" s="52"/>
      <c r="CM14" s="52"/>
      <c r="CN14" s="52" t="s">
        <v>12</v>
      </c>
      <c r="CO14" s="52"/>
      <c r="CP14" s="52">
        <v>2</v>
      </c>
    </row>
    <row r="15" spans="1:94" x14ac:dyDescent="0.3">
      <c r="A15" s="52">
        <v>13</v>
      </c>
      <c r="B15" s="52" t="s">
        <v>154</v>
      </c>
      <c r="C15" s="52" t="s">
        <v>155</v>
      </c>
      <c r="D15" s="53" t="s">
        <v>156</v>
      </c>
      <c r="E15" s="52" t="s">
        <v>157</v>
      </c>
      <c r="F15" s="52">
        <v>2025</v>
      </c>
      <c r="G15" s="52" t="s">
        <v>192</v>
      </c>
      <c r="H15" s="52">
        <v>9368</v>
      </c>
      <c r="I15" s="52" t="s">
        <v>196</v>
      </c>
      <c r="J15" s="54"/>
      <c r="K15" s="52">
        <v>9368</v>
      </c>
      <c r="L15" s="55">
        <v>45684</v>
      </c>
      <c r="M15" s="52" t="s">
        <v>5</v>
      </c>
      <c r="N15" s="52"/>
      <c r="O15" s="52" t="s">
        <v>160</v>
      </c>
      <c r="P15" s="52" t="s">
        <v>9</v>
      </c>
      <c r="Q15" s="52" t="s">
        <v>1</v>
      </c>
      <c r="R15" s="55">
        <v>45200</v>
      </c>
      <c r="S15" s="52" t="s">
        <v>0</v>
      </c>
      <c r="T15" s="42">
        <v>41671</v>
      </c>
      <c r="U15"/>
      <c r="V15" s="52">
        <v>0</v>
      </c>
      <c r="W15" s="52">
        <v>0</v>
      </c>
      <c r="X15" s="52">
        <v>0</v>
      </c>
      <c r="Y15" s="52">
        <v>0</v>
      </c>
      <c r="Z15" s="52">
        <v>0</v>
      </c>
      <c r="AA15" s="52">
        <v>0</v>
      </c>
      <c r="AB15" s="52">
        <v>1</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52">
        <v>0</v>
      </c>
      <c r="AW15" s="52">
        <v>0</v>
      </c>
      <c r="AX15" s="52">
        <v>0</v>
      </c>
      <c r="AY15" s="52">
        <v>0</v>
      </c>
      <c r="AZ15" s="52">
        <v>0</v>
      </c>
      <c r="BA15" s="52">
        <v>0</v>
      </c>
      <c r="BB15" s="52">
        <v>0</v>
      </c>
      <c r="BC15" s="52">
        <v>0</v>
      </c>
      <c r="BD15" s="52">
        <v>0</v>
      </c>
      <c r="BE15" s="52">
        <v>0</v>
      </c>
      <c r="BF15" s="52">
        <v>0</v>
      </c>
      <c r="BG15" s="52">
        <v>0</v>
      </c>
      <c r="BH15" s="52">
        <v>0</v>
      </c>
      <c r="BI15" s="52">
        <v>0</v>
      </c>
      <c r="BJ15" s="52">
        <v>1</v>
      </c>
      <c r="BK15" s="52" t="s">
        <v>194</v>
      </c>
      <c r="BL15" s="52" t="s">
        <v>166</v>
      </c>
      <c r="BM15" s="52">
        <v>0</v>
      </c>
      <c r="BN15" s="52" t="s">
        <v>197</v>
      </c>
      <c r="BO15" s="52"/>
      <c r="BP15" s="52" t="s">
        <v>168</v>
      </c>
      <c r="BQ15" s="52" t="s">
        <v>154</v>
      </c>
      <c r="BR15" s="52" t="s">
        <v>162</v>
      </c>
      <c r="BS15" s="52">
        <v>23</v>
      </c>
      <c r="BT15" s="52">
        <v>8</v>
      </c>
      <c r="BU15" s="52">
        <v>0</v>
      </c>
      <c r="BV15" s="52">
        <v>0</v>
      </c>
      <c r="BW15" s="52">
        <v>23</v>
      </c>
      <c r="BX15" s="52">
        <v>0</v>
      </c>
      <c r="BY15" s="52">
        <v>0</v>
      </c>
      <c r="BZ15" s="52">
        <v>0</v>
      </c>
      <c r="CA15" s="52">
        <v>0</v>
      </c>
      <c r="CB15" s="52">
        <v>0</v>
      </c>
      <c r="CC15" s="52">
        <v>0</v>
      </c>
      <c r="CD15" s="52">
        <v>23</v>
      </c>
      <c r="CE15" s="52">
        <v>0</v>
      </c>
      <c r="CF15" s="52"/>
      <c r="CG15" s="52"/>
      <c r="CH15" s="52">
        <v>0</v>
      </c>
      <c r="CI15" s="52">
        <v>23</v>
      </c>
      <c r="CJ15" s="52">
        <v>23</v>
      </c>
      <c r="CK15" s="55">
        <v>45799</v>
      </c>
      <c r="CL15" s="52"/>
      <c r="CM15" s="52"/>
      <c r="CN15" s="52" t="s">
        <v>12</v>
      </c>
      <c r="CO15" s="52"/>
      <c r="CP15" s="52">
        <v>2</v>
      </c>
    </row>
    <row r="16" spans="1:94" x14ac:dyDescent="0.3">
      <c r="A16" s="52">
        <v>14</v>
      </c>
      <c r="B16" s="52" t="s">
        <v>154</v>
      </c>
      <c r="C16" s="52" t="s">
        <v>155</v>
      </c>
      <c r="D16" s="53" t="s">
        <v>156</v>
      </c>
      <c r="E16" s="52" t="s">
        <v>157</v>
      </c>
      <c r="F16" s="52">
        <v>2025</v>
      </c>
      <c r="G16" s="52" t="s">
        <v>198</v>
      </c>
      <c r="H16" s="52">
        <v>9377</v>
      </c>
      <c r="I16" s="52" t="s">
        <v>198</v>
      </c>
      <c r="J16" s="54"/>
      <c r="K16" s="52">
        <v>9377</v>
      </c>
      <c r="L16" s="55">
        <v>45684</v>
      </c>
      <c r="M16" s="52" t="s">
        <v>3</v>
      </c>
      <c r="N16" s="52" t="s">
        <v>173</v>
      </c>
      <c r="O16" s="52" t="s">
        <v>160</v>
      </c>
      <c r="P16" s="52" t="s">
        <v>9</v>
      </c>
      <c r="Q16" s="52" t="s">
        <v>1</v>
      </c>
      <c r="R16" s="55">
        <v>45566</v>
      </c>
      <c r="S16" s="52" t="s">
        <v>0</v>
      </c>
      <c r="T16" s="42">
        <v>41913</v>
      </c>
      <c r="U16"/>
      <c r="V16" s="52">
        <v>0</v>
      </c>
      <c r="W16" s="52">
        <v>0</v>
      </c>
      <c r="X16" s="52">
        <v>0</v>
      </c>
      <c r="Y16" s="52">
        <v>0</v>
      </c>
      <c r="Z16" s="52">
        <v>0</v>
      </c>
      <c r="AA16" s="52">
        <v>0</v>
      </c>
      <c r="AB16" s="52">
        <v>0</v>
      </c>
      <c r="AC16" s="52">
        <v>0</v>
      </c>
      <c r="AD16" s="52">
        <v>0</v>
      </c>
      <c r="AE16" s="52">
        <v>0</v>
      </c>
      <c r="AF16" s="52">
        <v>0</v>
      </c>
      <c r="AG16" s="52">
        <v>0</v>
      </c>
      <c r="AH16" s="52">
        <v>0</v>
      </c>
      <c r="AI16" s="52">
        <v>0</v>
      </c>
      <c r="AJ16" s="52">
        <v>0</v>
      </c>
      <c r="AK16" s="52">
        <v>0</v>
      </c>
      <c r="AL16" s="52">
        <v>0</v>
      </c>
      <c r="AM16" s="52">
        <v>0</v>
      </c>
      <c r="AN16" s="52">
        <v>0</v>
      </c>
      <c r="AO16" s="52">
        <v>0</v>
      </c>
      <c r="AP16" s="52">
        <v>0</v>
      </c>
      <c r="AQ16" s="52">
        <v>0</v>
      </c>
      <c r="AR16" s="52">
        <v>0</v>
      </c>
      <c r="AS16" s="52">
        <v>0</v>
      </c>
      <c r="AT16" s="52">
        <v>0</v>
      </c>
      <c r="AU16" s="52">
        <v>0</v>
      </c>
      <c r="AV16" s="52">
        <v>0</v>
      </c>
      <c r="AW16" s="52">
        <v>0</v>
      </c>
      <c r="AX16" s="52">
        <v>0</v>
      </c>
      <c r="AY16" s="52">
        <v>0</v>
      </c>
      <c r="AZ16" s="52">
        <v>0</v>
      </c>
      <c r="BA16" s="52">
        <v>0</v>
      </c>
      <c r="BB16" s="52">
        <v>0</v>
      </c>
      <c r="BC16" s="52">
        <v>0</v>
      </c>
      <c r="BD16" s="52">
        <v>0</v>
      </c>
      <c r="BE16" s="52">
        <v>0</v>
      </c>
      <c r="BF16" s="52">
        <v>0</v>
      </c>
      <c r="BG16" s="52">
        <v>0</v>
      </c>
      <c r="BH16" s="52">
        <v>0</v>
      </c>
      <c r="BI16" s="52">
        <v>0</v>
      </c>
      <c r="BJ16" s="52">
        <v>1</v>
      </c>
      <c r="BK16" s="52" t="s">
        <v>199</v>
      </c>
      <c r="BL16" s="52" t="s">
        <v>161</v>
      </c>
      <c r="BM16" s="52">
        <v>0</v>
      </c>
      <c r="BN16" s="52" t="s">
        <v>200</v>
      </c>
      <c r="BO16" s="52"/>
      <c r="BP16" s="52" t="s">
        <v>168</v>
      </c>
      <c r="BQ16" s="52" t="s">
        <v>154</v>
      </c>
      <c r="BR16" s="52" t="s">
        <v>181</v>
      </c>
      <c r="BS16" s="52">
        <v>146</v>
      </c>
      <c r="BT16" s="52">
        <v>31</v>
      </c>
      <c r="BU16" s="52">
        <v>0</v>
      </c>
      <c r="BV16" s="52">
        <v>0</v>
      </c>
      <c r="BW16" s="52">
        <v>0</v>
      </c>
      <c r="BX16" s="52">
        <v>0</v>
      </c>
      <c r="BY16" s="52">
        <v>0</v>
      </c>
      <c r="BZ16" s="52">
        <v>0</v>
      </c>
      <c r="CA16" s="52">
        <v>0</v>
      </c>
      <c r="CB16" s="52">
        <v>0</v>
      </c>
      <c r="CC16" s="52">
        <v>0</v>
      </c>
      <c r="CD16" s="52">
        <v>146</v>
      </c>
      <c r="CE16" s="52">
        <v>0</v>
      </c>
      <c r="CF16" s="52"/>
      <c r="CG16" s="52"/>
      <c r="CH16" s="52">
        <v>0</v>
      </c>
      <c r="CI16" s="52">
        <v>49</v>
      </c>
      <c r="CJ16" s="52">
        <v>146</v>
      </c>
      <c r="CK16" s="55">
        <v>45798</v>
      </c>
      <c r="CL16" s="52" t="s">
        <v>201</v>
      </c>
      <c r="CM16" s="52"/>
      <c r="CN16" s="52" t="s">
        <v>12</v>
      </c>
      <c r="CO16" s="52"/>
      <c r="CP16" s="52">
        <v>2</v>
      </c>
    </row>
    <row r="17" spans="1:94" x14ac:dyDescent="0.3">
      <c r="A17" s="52">
        <v>15</v>
      </c>
      <c r="B17" s="52" t="s">
        <v>154</v>
      </c>
      <c r="C17" s="52" t="s">
        <v>155</v>
      </c>
      <c r="D17" s="53" t="s">
        <v>156</v>
      </c>
      <c r="E17" s="52" t="s">
        <v>157</v>
      </c>
      <c r="F17" s="52">
        <v>2025</v>
      </c>
      <c r="G17" s="52" t="s">
        <v>202</v>
      </c>
      <c r="H17" s="52">
        <v>9380</v>
      </c>
      <c r="I17" s="52" t="s">
        <v>202</v>
      </c>
      <c r="J17" s="54"/>
      <c r="K17" s="52">
        <v>9380</v>
      </c>
      <c r="L17" s="55">
        <v>45684</v>
      </c>
      <c r="M17" s="52" t="s">
        <v>5</v>
      </c>
      <c r="N17" s="52"/>
      <c r="O17" s="52" t="s">
        <v>160</v>
      </c>
      <c r="P17" s="52" t="s">
        <v>9</v>
      </c>
      <c r="Q17" s="52" t="s">
        <v>1</v>
      </c>
      <c r="R17" s="55">
        <v>45200</v>
      </c>
      <c r="S17" s="52" t="s">
        <v>0</v>
      </c>
      <c r="T17" s="42">
        <v>40909</v>
      </c>
      <c r="U17"/>
      <c r="V17" s="52">
        <v>0</v>
      </c>
      <c r="W17" s="52">
        <v>0</v>
      </c>
      <c r="X17" s="52">
        <v>0</v>
      </c>
      <c r="Y17" s="52">
        <v>0</v>
      </c>
      <c r="Z17" s="52">
        <v>0</v>
      </c>
      <c r="AA17" s="52">
        <v>0</v>
      </c>
      <c r="AB17" s="52">
        <v>0</v>
      </c>
      <c r="AC17" s="52">
        <v>0</v>
      </c>
      <c r="AD17" s="52">
        <v>0</v>
      </c>
      <c r="AE17" s="52">
        <v>0</v>
      </c>
      <c r="AF17" s="52">
        <v>0</v>
      </c>
      <c r="AG17" s="52">
        <v>0</v>
      </c>
      <c r="AH17" s="52">
        <v>0</v>
      </c>
      <c r="AI17" s="52">
        <v>0</v>
      </c>
      <c r="AJ17" s="52">
        <v>0</v>
      </c>
      <c r="AK17" s="52">
        <v>0</v>
      </c>
      <c r="AL17" s="52">
        <v>0</v>
      </c>
      <c r="AM17" s="52">
        <v>0</v>
      </c>
      <c r="AN17" s="52">
        <v>0</v>
      </c>
      <c r="AO17" s="52">
        <v>0</v>
      </c>
      <c r="AP17" s="52">
        <v>0</v>
      </c>
      <c r="AQ17" s="52">
        <v>0</v>
      </c>
      <c r="AR17" s="52">
        <v>0</v>
      </c>
      <c r="AS17" s="52">
        <v>0</v>
      </c>
      <c r="AT17" s="52">
        <v>0</v>
      </c>
      <c r="AU17" s="52">
        <v>0</v>
      </c>
      <c r="AV17" s="52">
        <v>0</v>
      </c>
      <c r="AW17" s="52">
        <v>0</v>
      </c>
      <c r="AX17" s="52">
        <v>0</v>
      </c>
      <c r="AY17" s="52">
        <v>0</v>
      </c>
      <c r="AZ17" s="52">
        <v>0</v>
      </c>
      <c r="BA17" s="52">
        <v>0</v>
      </c>
      <c r="BB17" s="52">
        <v>0</v>
      </c>
      <c r="BC17" s="52">
        <v>0</v>
      </c>
      <c r="BD17" s="52">
        <v>0</v>
      </c>
      <c r="BE17" s="52">
        <v>0</v>
      </c>
      <c r="BF17" s="52">
        <v>0</v>
      </c>
      <c r="BG17" s="52">
        <v>0</v>
      </c>
      <c r="BH17" s="52">
        <v>0</v>
      </c>
      <c r="BI17" s="52">
        <v>0</v>
      </c>
      <c r="BJ17" s="52">
        <v>0</v>
      </c>
      <c r="BK17" s="52"/>
      <c r="BL17" s="52" t="s">
        <v>161</v>
      </c>
      <c r="BM17" s="52">
        <v>0</v>
      </c>
      <c r="BN17" s="52" t="s">
        <v>170</v>
      </c>
      <c r="BO17" s="52"/>
      <c r="BP17" s="52" t="s">
        <v>168</v>
      </c>
      <c r="BQ17" s="52" t="s">
        <v>154</v>
      </c>
      <c r="BR17" s="52" t="s">
        <v>203</v>
      </c>
      <c r="BS17" s="52">
        <v>0</v>
      </c>
      <c r="BT17" s="52">
        <v>0</v>
      </c>
      <c r="BU17" s="52">
        <v>0</v>
      </c>
      <c r="BV17" s="52">
        <v>0</v>
      </c>
      <c r="BW17" s="52">
        <v>0</v>
      </c>
      <c r="BX17" s="52">
        <v>18</v>
      </c>
      <c r="BY17" s="52">
        <v>0</v>
      </c>
      <c r="BZ17" s="52">
        <v>0</v>
      </c>
      <c r="CA17" s="52">
        <v>18</v>
      </c>
      <c r="CB17" s="52">
        <v>0</v>
      </c>
      <c r="CC17" s="52">
        <v>0</v>
      </c>
      <c r="CD17" s="52">
        <v>18</v>
      </c>
      <c r="CE17" s="52">
        <v>0</v>
      </c>
      <c r="CF17" s="52"/>
      <c r="CG17" s="52"/>
      <c r="CH17" s="52">
        <v>0</v>
      </c>
      <c r="CI17" s="52">
        <v>14</v>
      </c>
      <c r="CJ17" s="52">
        <v>18</v>
      </c>
      <c r="CK17" s="55">
        <v>45818</v>
      </c>
      <c r="CL17" s="52"/>
      <c r="CM17" s="52"/>
      <c r="CN17" s="52" t="s">
        <v>12</v>
      </c>
      <c r="CO17" s="52"/>
      <c r="CP17" s="52">
        <v>2</v>
      </c>
    </row>
    <row r="18" spans="1:94" x14ac:dyDescent="0.3">
      <c r="A18" s="52">
        <v>16</v>
      </c>
      <c r="B18" s="52" t="s">
        <v>154</v>
      </c>
      <c r="C18" s="52" t="s">
        <v>155</v>
      </c>
      <c r="D18" s="53" t="s">
        <v>156</v>
      </c>
      <c r="E18" s="52" t="s">
        <v>157</v>
      </c>
      <c r="F18" s="52">
        <v>2025</v>
      </c>
      <c r="G18" s="52" t="s">
        <v>164</v>
      </c>
      <c r="H18" s="52">
        <v>9349</v>
      </c>
      <c r="I18" s="52" t="s">
        <v>204</v>
      </c>
      <c r="J18" s="54"/>
      <c r="K18" s="52">
        <v>9381</v>
      </c>
      <c r="L18" s="55">
        <v>45684</v>
      </c>
      <c r="M18" s="52" t="s">
        <v>5</v>
      </c>
      <c r="N18" s="52"/>
      <c r="O18" s="52" t="s">
        <v>160</v>
      </c>
      <c r="P18" s="52" t="s">
        <v>9</v>
      </c>
      <c r="Q18" s="52" t="s">
        <v>1</v>
      </c>
      <c r="R18" s="55">
        <v>45200</v>
      </c>
      <c r="S18" s="52" t="s">
        <v>0</v>
      </c>
      <c r="T18" s="42">
        <v>40179</v>
      </c>
      <c r="U18"/>
      <c r="V18" s="52">
        <v>0</v>
      </c>
      <c r="W18" s="52">
        <v>0</v>
      </c>
      <c r="X18" s="52">
        <v>0</v>
      </c>
      <c r="Y18" s="52">
        <v>0</v>
      </c>
      <c r="Z18" s="52">
        <v>0</v>
      </c>
      <c r="AA18" s="52">
        <v>0</v>
      </c>
      <c r="AB18" s="52">
        <v>1</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52">
        <v>0</v>
      </c>
      <c r="AW18" s="52">
        <v>0</v>
      </c>
      <c r="AX18" s="52">
        <v>0</v>
      </c>
      <c r="AY18" s="52">
        <v>0</v>
      </c>
      <c r="AZ18" s="52">
        <v>0</v>
      </c>
      <c r="BA18" s="52">
        <v>0</v>
      </c>
      <c r="BB18" s="52">
        <v>0</v>
      </c>
      <c r="BC18" s="52">
        <v>0</v>
      </c>
      <c r="BD18" s="52">
        <v>0</v>
      </c>
      <c r="BE18" s="52">
        <v>0</v>
      </c>
      <c r="BF18" s="52">
        <v>0</v>
      </c>
      <c r="BG18" s="52">
        <v>0</v>
      </c>
      <c r="BH18" s="52">
        <v>0</v>
      </c>
      <c r="BI18" s="52">
        <v>0</v>
      </c>
      <c r="BJ18" s="52">
        <v>0</v>
      </c>
      <c r="BK18" s="52"/>
      <c r="BL18" s="52" t="s">
        <v>166</v>
      </c>
      <c r="BM18" s="52">
        <v>0</v>
      </c>
      <c r="BN18" s="52" t="s">
        <v>205</v>
      </c>
      <c r="BO18" s="52"/>
      <c r="BP18" s="52" t="s">
        <v>168</v>
      </c>
      <c r="BQ18" s="52" t="s">
        <v>154</v>
      </c>
      <c r="BR18" s="52" t="s">
        <v>175</v>
      </c>
      <c r="BS18" s="52">
        <v>0</v>
      </c>
      <c r="BT18" s="52">
        <v>0</v>
      </c>
      <c r="BU18" s="52">
        <v>0</v>
      </c>
      <c r="BV18" s="52">
        <v>0</v>
      </c>
      <c r="BW18" s="52">
        <v>0</v>
      </c>
      <c r="BX18" s="52">
        <v>64</v>
      </c>
      <c r="BY18" s="52">
        <v>0</v>
      </c>
      <c r="BZ18" s="52">
        <v>0</v>
      </c>
      <c r="CA18" s="52">
        <v>64</v>
      </c>
      <c r="CB18" s="52">
        <v>0</v>
      </c>
      <c r="CC18" s="52">
        <v>0</v>
      </c>
      <c r="CD18" s="52">
        <v>64</v>
      </c>
      <c r="CE18" s="52">
        <v>0</v>
      </c>
      <c r="CF18" s="52"/>
      <c r="CG18" s="52"/>
      <c r="CH18" s="52">
        <v>0</v>
      </c>
      <c r="CI18" s="52">
        <v>53</v>
      </c>
      <c r="CJ18" s="52">
        <v>64</v>
      </c>
      <c r="CK18" s="55">
        <v>45798</v>
      </c>
      <c r="CL18" s="52"/>
      <c r="CM18" s="52"/>
      <c r="CN18" s="52" t="s">
        <v>12</v>
      </c>
      <c r="CO18" s="52"/>
      <c r="CP18" s="52">
        <v>2</v>
      </c>
    </row>
    <row r="19" spans="1:94" x14ac:dyDescent="0.3">
      <c r="A19" s="52">
        <v>18</v>
      </c>
      <c r="B19" s="52" t="s">
        <v>154</v>
      </c>
      <c r="C19" s="52" t="s">
        <v>155</v>
      </c>
      <c r="D19" s="53" t="s">
        <v>156</v>
      </c>
      <c r="E19" s="52" t="s">
        <v>157</v>
      </c>
      <c r="F19" s="52">
        <v>2025</v>
      </c>
      <c r="G19" s="52" t="s">
        <v>158</v>
      </c>
      <c r="H19" s="52">
        <v>5685</v>
      </c>
      <c r="I19" s="52" t="s">
        <v>206</v>
      </c>
      <c r="J19" s="54"/>
      <c r="K19" s="52">
        <v>9394</v>
      </c>
      <c r="L19" s="55">
        <v>45684</v>
      </c>
      <c r="M19" s="52" t="s">
        <v>3</v>
      </c>
      <c r="N19" s="52" t="s">
        <v>173</v>
      </c>
      <c r="O19" s="52" t="s">
        <v>160</v>
      </c>
      <c r="P19" s="52" t="s">
        <v>115</v>
      </c>
      <c r="Q19" s="52" t="s">
        <v>1</v>
      </c>
      <c r="R19" s="55">
        <v>41913</v>
      </c>
      <c r="S19" s="52" t="s">
        <v>8</v>
      </c>
      <c r="T19" s="42">
        <v>41913</v>
      </c>
      <c r="U19"/>
      <c r="V19" s="52">
        <v>0</v>
      </c>
      <c r="W19" s="52">
        <v>0</v>
      </c>
      <c r="X19" s="52">
        <v>0</v>
      </c>
      <c r="Y19" s="52">
        <v>0</v>
      </c>
      <c r="Z19" s="52">
        <v>0</v>
      </c>
      <c r="AA19" s="52">
        <v>0</v>
      </c>
      <c r="AB19" s="52">
        <v>0</v>
      </c>
      <c r="AC19" s="52">
        <v>0</v>
      </c>
      <c r="AD19" s="52">
        <v>0</v>
      </c>
      <c r="AE19" s="52">
        <v>0</v>
      </c>
      <c r="AF19" s="52">
        <v>0</v>
      </c>
      <c r="AG19" s="52">
        <v>0</v>
      </c>
      <c r="AH19" s="52">
        <v>0</v>
      </c>
      <c r="AI19" s="52">
        <v>0</v>
      </c>
      <c r="AJ19" s="52">
        <v>0</v>
      </c>
      <c r="AK19" s="52">
        <v>0</v>
      </c>
      <c r="AL19" s="52">
        <v>0</v>
      </c>
      <c r="AM19" s="52">
        <v>0</v>
      </c>
      <c r="AN19" s="52">
        <v>0</v>
      </c>
      <c r="AO19" s="52">
        <v>0</v>
      </c>
      <c r="AP19" s="52">
        <v>0</v>
      </c>
      <c r="AQ19" s="52">
        <v>0</v>
      </c>
      <c r="AR19" s="52">
        <v>0</v>
      </c>
      <c r="AS19" s="52">
        <v>0</v>
      </c>
      <c r="AT19" s="52">
        <v>0</v>
      </c>
      <c r="AU19" s="52">
        <v>0</v>
      </c>
      <c r="AV19" s="52">
        <v>0</v>
      </c>
      <c r="AW19" s="52">
        <v>0</v>
      </c>
      <c r="AX19" s="52">
        <v>0</v>
      </c>
      <c r="AY19" s="52">
        <v>0</v>
      </c>
      <c r="AZ19" s="52">
        <v>0</v>
      </c>
      <c r="BA19" s="52">
        <v>0</v>
      </c>
      <c r="BB19" s="52">
        <v>0</v>
      </c>
      <c r="BC19" s="52">
        <v>0</v>
      </c>
      <c r="BD19" s="52">
        <v>0</v>
      </c>
      <c r="BE19" s="52">
        <v>0</v>
      </c>
      <c r="BF19" s="52">
        <v>0</v>
      </c>
      <c r="BG19" s="52">
        <v>0</v>
      </c>
      <c r="BH19" s="52">
        <v>0</v>
      </c>
      <c r="BI19" s="52">
        <v>0</v>
      </c>
      <c r="BJ19" s="52">
        <v>0</v>
      </c>
      <c r="BK19" s="52"/>
      <c r="BL19" s="52" t="s">
        <v>161</v>
      </c>
      <c r="BM19" s="52">
        <v>1</v>
      </c>
      <c r="BN19" s="52"/>
      <c r="BO19" s="52"/>
      <c r="BP19" s="52"/>
      <c r="BQ19" s="52"/>
      <c r="BR19" s="52" t="s">
        <v>181</v>
      </c>
      <c r="BS19" s="52">
        <v>7</v>
      </c>
      <c r="BT19" s="52">
        <v>3</v>
      </c>
      <c r="BU19" s="52">
        <v>0</v>
      </c>
      <c r="BV19" s="52">
        <v>0</v>
      </c>
      <c r="BW19" s="52">
        <v>0</v>
      </c>
      <c r="BX19" s="52">
        <v>9</v>
      </c>
      <c r="BY19" s="52">
        <v>0</v>
      </c>
      <c r="BZ19" s="52">
        <v>0</v>
      </c>
      <c r="CA19" s="52">
        <v>0</v>
      </c>
      <c r="CB19" s="52">
        <v>0</v>
      </c>
      <c r="CC19" s="52">
        <v>0</v>
      </c>
      <c r="CD19" s="52">
        <v>16</v>
      </c>
      <c r="CE19" s="52">
        <v>0</v>
      </c>
      <c r="CF19" s="52"/>
      <c r="CG19" s="52"/>
      <c r="CH19" s="52">
        <v>0</v>
      </c>
      <c r="CI19" s="52">
        <v>16</v>
      </c>
      <c r="CJ19" s="52">
        <v>16</v>
      </c>
      <c r="CK19" s="55">
        <v>45819</v>
      </c>
      <c r="CL19" s="52"/>
      <c r="CM19" s="52"/>
      <c r="CN19" s="52" t="s">
        <v>12</v>
      </c>
      <c r="CO19" s="52"/>
      <c r="CP19" s="52">
        <v>2</v>
      </c>
    </row>
    <row r="20" spans="1:94" x14ac:dyDescent="0.3">
      <c r="A20" s="52">
        <v>19</v>
      </c>
      <c r="B20" s="52" t="s">
        <v>154</v>
      </c>
      <c r="C20" s="52" t="s">
        <v>155</v>
      </c>
      <c r="D20" s="53" t="s">
        <v>156</v>
      </c>
      <c r="E20" s="52" t="s">
        <v>157</v>
      </c>
      <c r="F20" s="52">
        <v>2025</v>
      </c>
      <c r="G20" s="52" t="s">
        <v>158</v>
      </c>
      <c r="H20" s="52">
        <v>5685</v>
      </c>
      <c r="I20" s="52" t="s">
        <v>207</v>
      </c>
      <c r="J20" s="54"/>
      <c r="K20" s="52">
        <v>9395</v>
      </c>
      <c r="L20" s="55">
        <v>45684</v>
      </c>
      <c r="M20" s="52" t="s">
        <v>3</v>
      </c>
      <c r="N20" s="52" t="s">
        <v>173</v>
      </c>
      <c r="O20" s="52" t="s">
        <v>160</v>
      </c>
      <c r="P20" s="52" t="s">
        <v>115</v>
      </c>
      <c r="Q20" s="52" t="s">
        <v>1</v>
      </c>
      <c r="R20" s="55">
        <v>44835</v>
      </c>
      <c r="S20" s="52" t="s">
        <v>8</v>
      </c>
      <c r="T20" s="42">
        <v>41913</v>
      </c>
      <c r="U20"/>
      <c r="V20" s="52">
        <v>0</v>
      </c>
      <c r="W20" s="52">
        <v>0</v>
      </c>
      <c r="X20" s="52">
        <v>0</v>
      </c>
      <c r="Y20" s="52">
        <v>0</v>
      </c>
      <c r="Z20" s="52">
        <v>0</v>
      </c>
      <c r="AA20" s="52">
        <v>0</v>
      </c>
      <c r="AB20" s="52">
        <v>0</v>
      </c>
      <c r="AC20" s="52">
        <v>0</v>
      </c>
      <c r="AD20" s="52">
        <v>0</v>
      </c>
      <c r="AE20" s="52">
        <v>0</v>
      </c>
      <c r="AF20" s="52">
        <v>0</v>
      </c>
      <c r="AG20" s="52">
        <v>0</v>
      </c>
      <c r="AH20" s="52">
        <v>0</v>
      </c>
      <c r="AI20" s="52">
        <v>0</v>
      </c>
      <c r="AJ20" s="52">
        <v>0</v>
      </c>
      <c r="AK20" s="52">
        <v>0</v>
      </c>
      <c r="AL20" s="52">
        <v>0</v>
      </c>
      <c r="AM20" s="52">
        <v>0</v>
      </c>
      <c r="AN20" s="52">
        <v>0</v>
      </c>
      <c r="AO20" s="52">
        <v>0</v>
      </c>
      <c r="AP20" s="52">
        <v>0</v>
      </c>
      <c r="AQ20" s="52">
        <v>0</v>
      </c>
      <c r="AR20" s="52">
        <v>0</v>
      </c>
      <c r="AS20" s="52">
        <v>0</v>
      </c>
      <c r="AT20" s="52">
        <v>0</v>
      </c>
      <c r="AU20" s="52">
        <v>0</v>
      </c>
      <c r="AV20" s="52">
        <v>0</v>
      </c>
      <c r="AW20" s="52">
        <v>0</v>
      </c>
      <c r="AX20" s="52">
        <v>0</v>
      </c>
      <c r="AY20" s="52">
        <v>0</v>
      </c>
      <c r="AZ20" s="52">
        <v>0</v>
      </c>
      <c r="BA20" s="52">
        <v>0</v>
      </c>
      <c r="BB20" s="52">
        <v>0</v>
      </c>
      <c r="BC20" s="52">
        <v>0</v>
      </c>
      <c r="BD20" s="52">
        <v>0</v>
      </c>
      <c r="BE20" s="52">
        <v>0</v>
      </c>
      <c r="BF20" s="52">
        <v>0</v>
      </c>
      <c r="BG20" s="52">
        <v>0</v>
      </c>
      <c r="BH20" s="52">
        <v>0</v>
      </c>
      <c r="BI20" s="52">
        <v>0</v>
      </c>
      <c r="BJ20" s="52">
        <v>0</v>
      </c>
      <c r="BK20" s="52"/>
      <c r="BL20" s="52" t="s">
        <v>161</v>
      </c>
      <c r="BM20" s="52">
        <v>1</v>
      </c>
      <c r="BN20" s="52"/>
      <c r="BO20" s="52"/>
      <c r="BP20" s="52"/>
      <c r="BQ20" s="52"/>
      <c r="BR20" s="52" t="s">
        <v>208</v>
      </c>
      <c r="BS20" s="52">
        <v>2</v>
      </c>
      <c r="BT20" s="52">
        <v>1</v>
      </c>
      <c r="BU20" s="52">
        <v>0</v>
      </c>
      <c r="BV20" s="52">
        <v>0</v>
      </c>
      <c r="BW20" s="52">
        <v>0</v>
      </c>
      <c r="BX20" s="52">
        <v>2</v>
      </c>
      <c r="BY20" s="52">
        <v>0</v>
      </c>
      <c r="BZ20" s="52">
        <v>0</v>
      </c>
      <c r="CA20" s="52">
        <v>0</v>
      </c>
      <c r="CB20" s="52">
        <v>0</v>
      </c>
      <c r="CC20" s="52">
        <v>0</v>
      </c>
      <c r="CD20" s="52">
        <v>4</v>
      </c>
      <c r="CE20" s="52">
        <v>0</v>
      </c>
      <c r="CF20" s="52"/>
      <c r="CG20" s="52"/>
      <c r="CH20" s="52">
        <v>0</v>
      </c>
      <c r="CI20" s="52">
        <v>4</v>
      </c>
      <c r="CJ20" s="52">
        <v>4</v>
      </c>
      <c r="CK20" s="55">
        <v>45799</v>
      </c>
      <c r="CL20" s="52"/>
      <c r="CM20" s="52"/>
      <c r="CN20" s="52" t="s">
        <v>12</v>
      </c>
      <c r="CO20" s="52"/>
      <c r="CP20" s="52">
        <v>2</v>
      </c>
    </row>
    <row r="21" spans="1:94" x14ac:dyDescent="0.3">
      <c r="A21" s="52">
        <v>23</v>
      </c>
      <c r="B21" s="52" t="s">
        <v>154</v>
      </c>
      <c r="C21" s="52" t="s">
        <v>155</v>
      </c>
      <c r="D21" s="53" t="s">
        <v>156</v>
      </c>
      <c r="E21" s="52" t="s">
        <v>157</v>
      </c>
      <c r="F21" s="52">
        <v>2025</v>
      </c>
      <c r="G21" s="52" t="s">
        <v>171</v>
      </c>
      <c r="H21" s="52">
        <v>5849</v>
      </c>
      <c r="I21" s="52" t="s">
        <v>209</v>
      </c>
      <c r="J21" s="54"/>
      <c r="K21" s="52">
        <v>9761</v>
      </c>
      <c r="L21" s="55">
        <v>45684</v>
      </c>
      <c r="M21" s="52" t="s">
        <v>2</v>
      </c>
      <c r="N21" s="52"/>
      <c r="O21" s="52" t="s">
        <v>160</v>
      </c>
      <c r="P21" s="52" t="s">
        <v>9</v>
      </c>
      <c r="Q21" s="52" t="s">
        <v>1</v>
      </c>
      <c r="R21" s="55">
        <v>45200</v>
      </c>
      <c r="S21" s="52" t="s">
        <v>0</v>
      </c>
      <c r="T21" s="42">
        <v>44835</v>
      </c>
      <c r="U21"/>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52">
        <v>0</v>
      </c>
      <c r="AW21" s="52">
        <v>0</v>
      </c>
      <c r="AX21" s="52">
        <v>0</v>
      </c>
      <c r="AY21" s="52">
        <v>1</v>
      </c>
      <c r="AZ21" s="52">
        <v>0</v>
      </c>
      <c r="BA21" s="52">
        <v>0</v>
      </c>
      <c r="BB21" s="52">
        <v>0</v>
      </c>
      <c r="BC21" s="52">
        <v>0</v>
      </c>
      <c r="BD21" s="52">
        <v>0</v>
      </c>
      <c r="BE21" s="52">
        <v>0</v>
      </c>
      <c r="BF21" s="52">
        <v>0</v>
      </c>
      <c r="BG21" s="52">
        <v>0</v>
      </c>
      <c r="BH21" s="52">
        <v>0</v>
      </c>
      <c r="BI21" s="52">
        <v>0</v>
      </c>
      <c r="BJ21" s="52">
        <v>0</v>
      </c>
      <c r="BK21" s="52"/>
      <c r="BL21" s="52" t="s">
        <v>161</v>
      </c>
      <c r="BM21" s="52">
        <v>0</v>
      </c>
      <c r="BN21" s="52" t="s">
        <v>174</v>
      </c>
      <c r="BO21" s="52"/>
      <c r="BP21" s="52" t="s">
        <v>168</v>
      </c>
      <c r="BQ21" s="52" t="s">
        <v>154</v>
      </c>
      <c r="BR21" s="52" t="s">
        <v>175</v>
      </c>
      <c r="BS21" s="52">
        <v>0</v>
      </c>
      <c r="BT21" s="52">
        <v>0</v>
      </c>
      <c r="BU21" s="52">
        <v>0</v>
      </c>
      <c r="BV21" s="52">
        <v>0</v>
      </c>
      <c r="BW21" s="52">
        <v>0</v>
      </c>
      <c r="BX21" s="52">
        <v>9</v>
      </c>
      <c r="BY21" s="52">
        <v>0</v>
      </c>
      <c r="BZ21" s="52">
        <v>0</v>
      </c>
      <c r="CA21" s="52">
        <v>0</v>
      </c>
      <c r="CB21" s="52">
        <v>2</v>
      </c>
      <c r="CC21" s="52">
        <v>0</v>
      </c>
      <c r="CD21" s="52">
        <v>11</v>
      </c>
      <c r="CE21" s="52">
        <v>0</v>
      </c>
      <c r="CF21" s="52"/>
      <c r="CG21" s="52"/>
      <c r="CH21" s="52">
        <v>0</v>
      </c>
      <c r="CI21" s="52">
        <v>9</v>
      </c>
      <c r="CJ21" s="52">
        <v>11</v>
      </c>
      <c r="CK21" s="55">
        <v>45818</v>
      </c>
      <c r="CL21" s="52" t="s">
        <v>210</v>
      </c>
      <c r="CM21" s="52"/>
      <c r="CN21" s="52" t="s">
        <v>12</v>
      </c>
      <c r="CO21" s="52"/>
      <c r="CP21" s="52">
        <v>2</v>
      </c>
    </row>
    <row r="22" spans="1:94" x14ac:dyDescent="0.3">
      <c r="A22" s="52">
        <v>24</v>
      </c>
      <c r="B22" s="52" t="s">
        <v>154</v>
      </c>
      <c r="C22" s="52" t="s">
        <v>155</v>
      </c>
      <c r="D22" s="53" t="s">
        <v>156</v>
      </c>
      <c r="E22" s="52" t="s">
        <v>157</v>
      </c>
      <c r="F22" s="52">
        <v>2025</v>
      </c>
      <c r="G22" s="52" t="s">
        <v>158</v>
      </c>
      <c r="H22" s="52">
        <v>5685</v>
      </c>
      <c r="I22" s="52" t="s">
        <v>211</v>
      </c>
      <c r="J22" s="54"/>
      <c r="K22" s="52">
        <v>9926</v>
      </c>
      <c r="L22" s="55">
        <v>45684</v>
      </c>
      <c r="M22" s="52" t="s">
        <v>2</v>
      </c>
      <c r="N22" s="52"/>
      <c r="O22" s="52" t="s">
        <v>160</v>
      </c>
      <c r="P22" s="52" t="s">
        <v>115</v>
      </c>
      <c r="Q22" s="52" t="s">
        <v>1</v>
      </c>
      <c r="R22" s="55">
        <v>45200</v>
      </c>
      <c r="S22" s="52" t="s">
        <v>8</v>
      </c>
      <c r="T22" s="42">
        <v>44835</v>
      </c>
      <c r="U22"/>
      <c r="V22" s="52">
        <v>0</v>
      </c>
      <c r="W22" s="52">
        <v>0</v>
      </c>
      <c r="X22" s="52">
        <v>0</v>
      </c>
      <c r="Y22" s="52">
        <v>0</v>
      </c>
      <c r="Z22" s="52">
        <v>0</v>
      </c>
      <c r="AA22" s="52">
        <v>0</v>
      </c>
      <c r="AB22" s="52">
        <v>0</v>
      </c>
      <c r="AC22" s="52">
        <v>0</v>
      </c>
      <c r="AD22" s="52">
        <v>0</v>
      </c>
      <c r="AE22" s="52">
        <v>0</v>
      </c>
      <c r="AF22" s="52">
        <v>0</v>
      </c>
      <c r="AG22" s="52">
        <v>0</v>
      </c>
      <c r="AH22" s="52">
        <v>0</v>
      </c>
      <c r="AI22" s="52">
        <v>0</v>
      </c>
      <c r="AJ22" s="52">
        <v>0</v>
      </c>
      <c r="AK22" s="52">
        <v>0</v>
      </c>
      <c r="AL22" s="52">
        <v>0</v>
      </c>
      <c r="AM22" s="52">
        <v>0</v>
      </c>
      <c r="AN22" s="52">
        <v>0</v>
      </c>
      <c r="AO22" s="52">
        <v>0</v>
      </c>
      <c r="AP22" s="52">
        <v>0</v>
      </c>
      <c r="AQ22" s="52">
        <v>0</v>
      </c>
      <c r="AR22" s="52">
        <v>0</v>
      </c>
      <c r="AS22" s="52">
        <v>0</v>
      </c>
      <c r="AT22" s="52">
        <v>0</v>
      </c>
      <c r="AU22" s="52">
        <v>0</v>
      </c>
      <c r="AV22" s="52">
        <v>0</v>
      </c>
      <c r="AW22" s="52">
        <v>0</v>
      </c>
      <c r="AX22" s="52">
        <v>0</v>
      </c>
      <c r="AY22" s="52">
        <v>0</v>
      </c>
      <c r="AZ22" s="52">
        <v>0</v>
      </c>
      <c r="BA22" s="52">
        <v>0</v>
      </c>
      <c r="BB22" s="52">
        <v>0</v>
      </c>
      <c r="BC22" s="52">
        <v>0</v>
      </c>
      <c r="BD22" s="52">
        <v>0</v>
      </c>
      <c r="BE22" s="52">
        <v>0</v>
      </c>
      <c r="BF22" s="52">
        <v>0</v>
      </c>
      <c r="BG22" s="52">
        <v>0</v>
      </c>
      <c r="BH22" s="52">
        <v>0</v>
      </c>
      <c r="BI22" s="52">
        <v>0</v>
      </c>
      <c r="BJ22" s="52">
        <v>0</v>
      </c>
      <c r="BK22" s="52"/>
      <c r="BL22" s="52" t="s">
        <v>166</v>
      </c>
      <c r="BM22" s="52">
        <v>1</v>
      </c>
      <c r="BN22" s="52"/>
      <c r="BO22" s="52"/>
      <c r="BP22" s="52"/>
      <c r="BQ22" s="52"/>
      <c r="BR22" s="52" t="s">
        <v>162</v>
      </c>
      <c r="BS22" s="52">
        <v>6</v>
      </c>
      <c r="BT22" s="52">
        <v>3</v>
      </c>
      <c r="BU22" s="52">
        <v>0</v>
      </c>
      <c r="BV22" s="52">
        <v>0</v>
      </c>
      <c r="BW22" s="52">
        <v>0</v>
      </c>
      <c r="BX22" s="52">
        <v>2</v>
      </c>
      <c r="BY22" s="52">
        <v>0</v>
      </c>
      <c r="BZ22" s="52">
        <v>0</v>
      </c>
      <c r="CA22" s="52"/>
      <c r="CB22" s="52">
        <v>0</v>
      </c>
      <c r="CC22" s="52">
        <v>0</v>
      </c>
      <c r="CD22" s="52">
        <v>8</v>
      </c>
      <c r="CE22" s="52">
        <v>0</v>
      </c>
      <c r="CF22" s="52"/>
      <c r="CG22" s="52"/>
      <c r="CH22" s="52">
        <v>0</v>
      </c>
      <c r="CI22" s="52">
        <v>8</v>
      </c>
      <c r="CJ22" s="52">
        <v>8</v>
      </c>
      <c r="CK22" s="55">
        <v>45799</v>
      </c>
      <c r="CL22" s="52"/>
      <c r="CM22" s="52"/>
      <c r="CN22" s="52" t="s">
        <v>12</v>
      </c>
      <c r="CO22" s="52"/>
      <c r="CP22" s="52">
        <v>2</v>
      </c>
    </row>
    <row r="23" spans="1:94" x14ac:dyDescent="0.3">
      <c r="A23" s="52">
        <v>25</v>
      </c>
      <c r="B23" s="52" t="s">
        <v>154</v>
      </c>
      <c r="C23" s="52" t="s">
        <v>155</v>
      </c>
      <c r="D23" s="53" t="s">
        <v>156</v>
      </c>
      <c r="E23" s="52" t="s">
        <v>157</v>
      </c>
      <c r="F23" s="52">
        <v>2025</v>
      </c>
      <c r="G23" s="52" t="s">
        <v>192</v>
      </c>
      <c r="H23" s="52">
        <v>9346</v>
      </c>
      <c r="I23" s="52" t="s">
        <v>212</v>
      </c>
      <c r="J23" s="54"/>
      <c r="K23" s="52">
        <v>9990</v>
      </c>
      <c r="L23" s="55">
        <v>45684</v>
      </c>
      <c r="M23" s="52" t="s">
        <v>4</v>
      </c>
      <c r="N23" s="52"/>
      <c r="O23" s="52" t="s">
        <v>160</v>
      </c>
      <c r="P23" s="52" t="s">
        <v>9</v>
      </c>
      <c r="Q23" s="52" t="s">
        <v>1</v>
      </c>
      <c r="R23" s="55">
        <v>45566</v>
      </c>
      <c r="S23" s="52" t="s">
        <v>0</v>
      </c>
      <c r="T23" s="42">
        <v>45108</v>
      </c>
      <c r="U23"/>
      <c r="V23" s="52">
        <v>0</v>
      </c>
      <c r="W23" s="52">
        <v>0</v>
      </c>
      <c r="X23" s="52">
        <v>1</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52">
        <v>0</v>
      </c>
      <c r="AW23" s="52">
        <v>0</v>
      </c>
      <c r="AX23" s="52">
        <v>0</v>
      </c>
      <c r="AY23" s="52">
        <v>0</v>
      </c>
      <c r="AZ23" s="52">
        <v>0</v>
      </c>
      <c r="BA23" s="52">
        <v>0</v>
      </c>
      <c r="BB23" s="52">
        <v>0</v>
      </c>
      <c r="BC23" s="52">
        <v>0</v>
      </c>
      <c r="BD23" s="52">
        <v>0</v>
      </c>
      <c r="BE23" s="52">
        <v>0</v>
      </c>
      <c r="BF23" s="52">
        <v>0</v>
      </c>
      <c r="BG23" s="52">
        <v>0</v>
      </c>
      <c r="BH23" s="52">
        <v>0</v>
      </c>
      <c r="BI23" s="52">
        <v>0</v>
      </c>
      <c r="BJ23" s="52">
        <v>0</v>
      </c>
      <c r="BK23" s="52"/>
      <c r="BL23" s="52" t="s">
        <v>166</v>
      </c>
      <c r="BM23" s="52">
        <v>0</v>
      </c>
      <c r="BN23" s="52" t="s">
        <v>213</v>
      </c>
      <c r="BO23" s="52" t="s">
        <v>214</v>
      </c>
      <c r="BP23" s="52" t="s">
        <v>168</v>
      </c>
      <c r="BQ23" s="52" t="s">
        <v>154</v>
      </c>
      <c r="BR23" s="52" t="s">
        <v>181</v>
      </c>
      <c r="BS23" s="52">
        <v>12</v>
      </c>
      <c r="BT23" s="52">
        <v>3</v>
      </c>
      <c r="BU23" s="52">
        <v>0</v>
      </c>
      <c r="BV23" s="52">
        <v>0</v>
      </c>
      <c r="BW23" s="52">
        <v>0</v>
      </c>
      <c r="BX23" s="52">
        <v>15</v>
      </c>
      <c r="BY23" s="52">
        <v>0</v>
      </c>
      <c r="BZ23" s="52">
        <v>0</v>
      </c>
      <c r="CA23" s="52">
        <v>0</v>
      </c>
      <c r="CB23" s="52">
        <v>0</v>
      </c>
      <c r="CC23" s="52">
        <v>0</v>
      </c>
      <c r="CD23" s="52">
        <v>27</v>
      </c>
      <c r="CE23" s="52">
        <v>0</v>
      </c>
      <c r="CF23" s="52"/>
      <c r="CG23" s="52"/>
      <c r="CH23" s="52">
        <v>0</v>
      </c>
      <c r="CI23" s="52">
        <v>27</v>
      </c>
      <c r="CJ23" s="52">
        <v>27</v>
      </c>
      <c r="CK23" s="55">
        <v>45798</v>
      </c>
      <c r="CL23" s="52"/>
      <c r="CM23" s="52"/>
      <c r="CN23" s="52" t="s">
        <v>12</v>
      </c>
      <c r="CO23" s="52"/>
      <c r="CP23" s="52">
        <v>2</v>
      </c>
    </row>
    <row r="24" spans="1:94" x14ac:dyDescent="0.3">
      <c r="A24" s="52">
        <v>26</v>
      </c>
      <c r="B24" s="52" t="s">
        <v>154</v>
      </c>
      <c r="C24" s="52" t="s">
        <v>155</v>
      </c>
      <c r="D24" s="53" t="s">
        <v>156</v>
      </c>
      <c r="E24" s="52" t="s">
        <v>157</v>
      </c>
      <c r="F24" s="52">
        <v>2025</v>
      </c>
      <c r="G24" s="52" t="s">
        <v>192</v>
      </c>
      <c r="H24" s="52">
        <v>9346</v>
      </c>
      <c r="I24" s="52" t="s">
        <v>215</v>
      </c>
      <c r="J24" s="54"/>
      <c r="K24" s="52">
        <v>10064</v>
      </c>
      <c r="L24" s="55">
        <v>45684</v>
      </c>
      <c r="M24" s="52" t="s">
        <v>4</v>
      </c>
      <c r="N24" s="52"/>
      <c r="O24" s="52" t="s">
        <v>160</v>
      </c>
      <c r="P24" s="52" t="s">
        <v>9</v>
      </c>
      <c r="Q24" s="52" t="s">
        <v>1</v>
      </c>
      <c r="R24" s="55">
        <v>45566</v>
      </c>
      <c r="S24" s="52" t="s">
        <v>0</v>
      </c>
      <c r="T24" s="42">
        <v>45322</v>
      </c>
      <c r="U24"/>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52">
        <v>0</v>
      </c>
      <c r="AW24" s="52">
        <v>0</v>
      </c>
      <c r="AX24" s="52">
        <v>0</v>
      </c>
      <c r="AY24" s="52">
        <v>0</v>
      </c>
      <c r="AZ24" s="52">
        <v>0</v>
      </c>
      <c r="BA24" s="52">
        <v>0</v>
      </c>
      <c r="BB24" s="52">
        <v>0</v>
      </c>
      <c r="BC24" s="52">
        <v>0</v>
      </c>
      <c r="BD24" s="52">
        <v>0</v>
      </c>
      <c r="BE24" s="52">
        <v>0</v>
      </c>
      <c r="BF24" s="52">
        <v>0</v>
      </c>
      <c r="BG24" s="52">
        <v>0</v>
      </c>
      <c r="BH24" s="52">
        <v>0</v>
      </c>
      <c r="BI24" s="52">
        <v>0</v>
      </c>
      <c r="BJ24" s="52">
        <v>1</v>
      </c>
      <c r="BK24" s="52" t="s">
        <v>179</v>
      </c>
      <c r="BL24" s="52" t="s">
        <v>166</v>
      </c>
      <c r="BM24" s="52">
        <v>0</v>
      </c>
      <c r="BN24" s="52" t="s">
        <v>216</v>
      </c>
      <c r="BO24" s="52"/>
      <c r="BP24" s="52" t="s">
        <v>168</v>
      </c>
      <c r="BQ24" s="52" t="s">
        <v>154</v>
      </c>
      <c r="BR24" s="52" t="s">
        <v>217</v>
      </c>
      <c r="BS24" s="52">
        <v>12</v>
      </c>
      <c r="BT24" s="52">
        <v>3</v>
      </c>
      <c r="BU24" s="52">
        <v>0</v>
      </c>
      <c r="BV24" s="52">
        <v>0</v>
      </c>
      <c r="BW24" s="52">
        <v>0</v>
      </c>
      <c r="BX24" s="52">
        <v>5</v>
      </c>
      <c r="BY24" s="52">
        <v>0</v>
      </c>
      <c r="BZ24" s="52">
        <v>0</v>
      </c>
      <c r="CA24" s="52">
        <v>0</v>
      </c>
      <c r="CB24" s="52"/>
      <c r="CC24" s="52">
        <v>0</v>
      </c>
      <c r="CD24" s="52">
        <v>17</v>
      </c>
      <c r="CE24" s="52">
        <v>0</v>
      </c>
      <c r="CF24" s="52"/>
      <c r="CG24" s="52"/>
      <c r="CH24" s="52">
        <v>0</v>
      </c>
      <c r="CI24" s="52">
        <v>17</v>
      </c>
      <c r="CJ24" s="52">
        <v>17</v>
      </c>
      <c r="CK24" s="55">
        <v>45798</v>
      </c>
      <c r="CL24" s="52"/>
      <c r="CM24" s="52"/>
      <c r="CN24" s="52" t="s">
        <v>12</v>
      </c>
      <c r="CO24" s="52"/>
      <c r="CP24" s="52">
        <v>2</v>
      </c>
    </row>
    <row r="25" spans="1:94" x14ac:dyDescent="0.3">
      <c r="A25" s="52">
        <v>28</v>
      </c>
      <c r="B25" s="52" t="s">
        <v>154</v>
      </c>
      <c r="C25" s="52" t="s">
        <v>155</v>
      </c>
      <c r="D25" s="53" t="s">
        <v>156</v>
      </c>
      <c r="E25" s="52" t="s">
        <v>157</v>
      </c>
      <c r="F25" s="52">
        <v>2025</v>
      </c>
      <c r="G25" s="52" t="s">
        <v>177</v>
      </c>
      <c r="H25" s="52">
        <v>9354</v>
      </c>
      <c r="I25" s="52" t="s">
        <v>218</v>
      </c>
      <c r="J25" s="54"/>
      <c r="K25" s="52">
        <v>10115</v>
      </c>
      <c r="L25" s="55">
        <v>45684</v>
      </c>
      <c r="M25" s="52" t="s">
        <v>4</v>
      </c>
      <c r="N25" s="52"/>
      <c r="O25" s="52" t="s">
        <v>160</v>
      </c>
      <c r="P25" s="52" t="s">
        <v>9</v>
      </c>
      <c r="Q25" s="52" t="s">
        <v>1</v>
      </c>
      <c r="R25" s="55">
        <v>45566</v>
      </c>
      <c r="S25" s="52" t="s">
        <v>0</v>
      </c>
      <c r="T25" s="42">
        <v>45323</v>
      </c>
      <c r="U25"/>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52">
        <v>0</v>
      </c>
      <c r="AW25" s="52">
        <v>0</v>
      </c>
      <c r="AX25" s="52">
        <v>0</v>
      </c>
      <c r="AY25" s="52">
        <v>0</v>
      </c>
      <c r="AZ25" s="52">
        <v>0</v>
      </c>
      <c r="BA25" s="52">
        <v>0</v>
      </c>
      <c r="BB25" s="52">
        <v>0</v>
      </c>
      <c r="BC25" s="52">
        <v>0</v>
      </c>
      <c r="BD25" s="52">
        <v>0</v>
      </c>
      <c r="BE25" s="52">
        <v>0</v>
      </c>
      <c r="BF25" s="52">
        <v>0</v>
      </c>
      <c r="BG25" s="52">
        <v>0</v>
      </c>
      <c r="BH25" s="52">
        <v>0</v>
      </c>
      <c r="BI25" s="52">
        <v>0</v>
      </c>
      <c r="BJ25" s="52">
        <v>1</v>
      </c>
      <c r="BK25" s="52" t="s">
        <v>219</v>
      </c>
      <c r="BL25" s="52" t="s">
        <v>166</v>
      </c>
      <c r="BM25" s="52">
        <v>0</v>
      </c>
      <c r="BN25" s="52" t="s">
        <v>197</v>
      </c>
      <c r="BO25" s="52"/>
      <c r="BP25" s="52"/>
      <c r="BQ25" s="52"/>
      <c r="BR25" s="52" t="s">
        <v>181</v>
      </c>
      <c r="BS25" s="52">
        <v>3</v>
      </c>
      <c r="BT25" s="52">
        <v>1</v>
      </c>
      <c r="BU25" s="52">
        <v>0</v>
      </c>
      <c r="BV25" s="52">
        <v>0</v>
      </c>
      <c r="BW25" s="52">
        <v>0</v>
      </c>
      <c r="BX25" s="52">
        <v>0</v>
      </c>
      <c r="BY25" s="52">
        <v>0</v>
      </c>
      <c r="BZ25" s="52">
        <v>0</v>
      </c>
      <c r="CA25" s="52">
        <v>0</v>
      </c>
      <c r="CB25" s="52">
        <v>0</v>
      </c>
      <c r="CC25" s="52">
        <v>0</v>
      </c>
      <c r="CD25" s="52">
        <v>3</v>
      </c>
      <c r="CE25" s="52">
        <v>0</v>
      </c>
      <c r="CF25" s="52"/>
      <c r="CG25" s="52"/>
      <c r="CH25" s="52">
        <v>0</v>
      </c>
      <c r="CI25" s="52">
        <v>3</v>
      </c>
      <c r="CJ25" s="52">
        <v>3</v>
      </c>
      <c r="CK25" s="55">
        <v>45798</v>
      </c>
      <c r="CL25" s="52"/>
      <c r="CM25" s="52"/>
      <c r="CN25" s="52" t="s">
        <v>12</v>
      </c>
      <c r="CO25" s="52"/>
      <c r="CP25" s="52">
        <v>2</v>
      </c>
    </row>
    <row r="26" spans="1:94" x14ac:dyDescent="0.3">
      <c r="A26" s="52">
        <v>29</v>
      </c>
      <c r="B26" s="52" t="s">
        <v>154</v>
      </c>
      <c r="C26" s="52" t="s">
        <v>155</v>
      </c>
      <c r="D26" s="53" t="s">
        <v>156</v>
      </c>
      <c r="E26" s="52" t="s">
        <v>157</v>
      </c>
      <c r="F26" s="52">
        <v>2025</v>
      </c>
      <c r="G26" s="52" t="s">
        <v>177</v>
      </c>
      <c r="H26" s="52">
        <v>9354</v>
      </c>
      <c r="I26" s="52" t="s">
        <v>220</v>
      </c>
      <c r="J26" s="54"/>
      <c r="K26" s="52">
        <v>10116</v>
      </c>
      <c r="L26" s="55">
        <v>45684</v>
      </c>
      <c r="M26" s="52" t="s">
        <v>4</v>
      </c>
      <c r="N26" s="52"/>
      <c r="O26" s="52" t="s">
        <v>160</v>
      </c>
      <c r="P26" s="52" t="s">
        <v>9</v>
      </c>
      <c r="Q26" s="52" t="s">
        <v>1</v>
      </c>
      <c r="R26" s="55">
        <v>45566</v>
      </c>
      <c r="S26" s="52" t="s">
        <v>0</v>
      </c>
      <c r="T26" s="42">
        <v>45323</v>
      </c>
      <c r="U26"/>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52">
        <v>0</v>
      </c>
      <c r="AW26" s="52">
        <v>0</v>
      </c>
      <c r="AX26" s="52">
        <v>0</v>
      </c>
      <c r="AY26" s="52">
        <v>0</v>
      </c>
      <c r="AZ26" s="52">
        <v>0</v>
      </c>
      <c r="BA26" s="52">
        <v>0</v>
      </c>
      <c r="BB26" s="52">
        <v>0</v>
      </c>
      <c r="BC26" s="52">
        <v>0</v>
      </c>
      <c r="BD26" s="52">
        <v>0</v>
      </c>
      <c r="BE26" s="52">
        <v>0</v>
      </c>
      <c r="BF26" s="52">
        <v>0</v>
      </c>
      <c r="BG26" s="52">
        <v>0</v>
      </c>
      <c r="BH26" s="52">
        <v>0</v>
      </c>
      <c r="BI26" s="52">
        <v>0</v>
      </c>
      <c r="BJ26" s="52">
        <v>1</v>
      </c>
      <c r="BK26" s="52" t="s">
        <v>219</v>
      </c>
      <c r="BL26" s="52" t="s">
        <v>166</v>
      </c>
      <c r="BM26" s="52">
        <v>0</v>
      </c>
      <c r="BN26" s="52" t="s">
        <v>197</v>
      </c>
      <c r="BO26" s="52"/>
      <c r="BP26" s="52"/>
      <c r="BQ26" s="52"/>
      <c r="BR26" s="52" t="s">
        <v>181</v>
      </c>
      <c r="BS26" s="52">
        <v>2</v>
      </c>
      <c r="BT26" s="52">
        <v>1</v>
      </c>
      <c r="BU26" s="52">
        <v>0</v>
      </c>
      <c r="BV26" s="52">
        <v>0</v>
      </c>
      <c r="BW26" s="52">
        <v>0</v>
      </c>
      <c r="BX26" s="52">
        <v>1</v>
      </c>
      <c r="BY26" s="52">
        <v>0</v>
      </c>
      <c r="BZ26" s="52">
        <v>0</v>
      </c>
      <c r="CA26" s="52">
        <v>0</v>
      </c>
      <c r="CB26" s="52">
        <v>0</v>
      </c>
      <c r="CC26" s="52">
        <v>0</v>
      </c>
      <c r="CD26" s="52">
        <v>3</v>
      </c>
      <c r="CE26" s="52">
        <v>0</v>
      </c>
      <c r="CF26" s="52"/>
      <c r="CG26" s="52"/>
      <c r="CH26" s="52">
        <v>0</v>
      </c>
      <c r="CI26" s="52">
        <v>3</v>
      </c>
      <c r="CJ26" s="52">
        <v>3</v>
      </c>
      <c r="CK26" s="55">
        <v>45798</v>
      </c>
      <c r="CL26" s="52"/>
      <c r="CM26" s="52"/>
      <c r="CN26" s="52" t="s">
        <v>12</v>
      </c>
      <c r="CO26" s="52"/>
      <c r="CP26" s="52">
        <v>2</v>
      </c>
    </row>
    <row r="27" spans="1:94" x14ac:dyDescent="0.3">
      <c r="A27" s="52">
        <v>30</v>
      </c>
      <c r="B27" s="52" t="s">
        <v>154</v>
      </c>
      <c r="C27" s="52" t="s">
        <v>155</v>
      </c>
      <c r="D27" s="53" t="s">
        <v>156</v>
      </c>
      <c r="E27" s="52" t="s">
        <v>157</v>
      </c>
      <c r="F27" s="52">
        <v>2025</v>
      </c>
      <c r="G27" s="52" t="s">
        <v>221</v>
      </c>
      <c r="H27" s="52">
        <v>10312</v>
      </c>
      <c r="I27" s="52" t="s">
        <v>222</v>
      </c>
      <c r="J27" s="54" t="s">
        <v>223</v>
      </c>
      <c r="K27" s="52">
        <v>10313</v>
      </c>
      <c r="L27" s="55">
        <v>45684</v>
      </c>
      <c r="M27" s="52" t="s">
        <v>4</v>
      </c>
      <c r="N27" s="52"/>
      <c r="O27" s="52" t="s">
        <v>160</v>
      </c>
      <c r="P27" s="52" t="s">
        <v>12</v>
      </c>
      <c r="Q27" s="52" t="s">
        <v>1</v>
      </c>
      <c r="R27" s="55">
        <v>45566</v>
      </c>
      <c r="S27" s="52" t="s">
        <v>10</v>
      </c>
      <c r="T27" s="42">
        <v>45200</v>
      </c>
      <c r="U27"/>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52">
        <v>0</v>
      </c>
      <c r="AW27" s="52">
        <v>0</v>
      </c>
      <c r="AX27" s="52">
        <v>0</v>
      </c>
      <c r="AY27" s="52">
        <v>0</v>
      </c>
      <c r="AZ27" s="52">
        <v>0</v>
      </c>
      <c r="BA27" s="52">
        <v>0</v>
      </c>
      <c r="BB27" s="52">
        <v>0</v>
      </c>
      <c r="BC27" s="52">
        <v>0</v>
      </c>
      <c r="BD27" s="52">
        <v>0</v>
      </c>
      <c r="BE27" s="52">
        <v>0</v>
      </c>
      <c r="BF27" s="52">
        <v>0</v>
      </c>
      <c r="BG27" s="52">
        <v>0</v>
      </c>
      <c r="BH27" s="52">
        <v>0</v>
      </c>
      <c r="BI27" s="52">
        <v>0</v>
      </c>
      <c r="BJ27" s="52">
        <v>0</v>
      </c>
      <c r="BK27" s="52" t="s">
        <v>224</v>
      </c>
      <c r="BL27" s="52" t="s">
        <v>166</v>
      </c>
      <c r="BM27" s="52">
        <v>0</v>
      </c>
      <c r="BN27" s="52"/>
      <c r="BO27" s="52"/>
      <c r="BP27" s="52" t="s">
        <v>168</v>
      </c>
      <c r="BQ27" s="52" t="s">
        <v>154</v>
      </c>
      <c r="BR27" s="52" t="s">
        <v>191</v>
      </c>
      <c r="BS27" s="52">
        <v>0</v>
      </c>
      <c r="BT27" s="52">
        <v>0</v>
      </c>
      <c r="BU27" s="52">
        <v>0</v>
      </c>
      <c r="BV27" s="52">
        <v>0</v>
      </c>
      <c r="BW27" s="52">
        <v>0</v>
      </c>
      <c r="BX27" s="52">
        <v>17</v>
      </c>
      <c r="BY27" s="52">
        <v>0</v>
      </c>
      <c r="BZ27" s="52">
        <v>0</v>
      </c>
      <c r="CA27" s="52">
        <v>0</v>
      </c>
      <c r="CB27" s="52">
        <v>0</v>
      </c>
      <c r="CC27" s="52">
        <v>0</v>
      </c>
      <c r="CD27" s="52">
        <v>17</v>
      </c>
      <c r="CE27" s="52">
        <v>0</v>
      </c>
      <c r="CF27" s="52"/>
      <c r="CG27" s="52"/>
      <c r="CH27" s="52">
        <v>0</v>
      </c>
      <c r="CI27" s="52">
        <v>17</v>
      </c>
      <c r="CJ27" s="52">
        <v>17</v>
      </c>
      <c r="CK27" s="55">
        <v>45817</v>
      </c>
      <c r="CL27" s="52"/>
      <c r="CM27" s="52"/>
      <c r="CN27" s="52" t="s">
        <v>12</v>
      </c>
      <c r="CO27" s="52"/>
      <c r="CP27" s="52"/>
    </row>
    <row r="28" spans="1:94" x14ac:dyDescent="0.3">
      <c r="A28" s="52">
        <v>31</v>
      </c>
      <c r="B28" s="52" t="s">
        <v>154</v>
      </c>
      <c r="C28" s="52" t="s">
        <v>155</v>
      </c>
      <c r="D28" s="53" t="s">
        <v>156</v>
      </c>
      <c r="E28" s="52" t="s">
        <v>157</v>
      </c>
      <c r="F28" s="52">
        <v>2025</v>
      </c>
      <c r="G28" s="52" t="s">
        <v>171</v>
      </c>
      <c r="H28" s="52">
        <v>5849</v>
      </c>
      <c r="I28" s="52" t="s">
        <v>225</v>
      </c>
      <c r="J28" s="54" t="s">
        <v>226</v>
      </c>
      <c r="K28" s="52">
        <v>10388</v>
      </c>
      <c r="L28" s="55">
        <v>45684</v>
      </c>
      <c r="M28" s="52" t="s">
        <v>3</v>
      </c>
      <c r="N28" s="52" t="s">
        <v>227</v>
      </c>
      <c r="O28" s="52" t="s">
        <v>160</v>
      </c>
      <c r="P28" s="52" t="s">
        <v>9</v>
      </c>
      <c r="Q28" s="52" t="s">
        <v>1</v>
      </c>
      <c r="R28" s="55">
        <v>45674</v>
      </c>
      <c r="S28" s="52" t="s">
        <v>0</v>
      </c>
      <c r="T28" s="42">
        <v>45674</v>
      </c>
      <c r="U28"/>
      <c r="V28" s="52">
        <v>0</v>
      </c>
      <c r="W28" s="52">
        <v>0</v>
      </c>
      <c r="X28" s="52">
        <v>0</v>
      </c>
      <c r="Y28" s="52">
        <v>0</v>
      </c>
      <c r="Z28" s="52">
        <v>0</v>
      </c>
      <c r="AA28" s="52">
        <v>0</v>
      </c>
      <c r="AB28" s="52">
        <v>0</v>
      </c>
      <c r="AC28" s="52">
        <v>0</v>
      </c>
      <c r="AD28" s="52">
        <v>0</v>
      </c>
      <c r="AE28" s="52">
        <v>0</v>
      </c>
      <c r="AF28" s="52">
        <v>0</v>
      </c>
      <c r="AG28" s="52">
        <v>0</v>
      </c>
      <c r="AH28" s="52">
        <v>0</v>
      </c>
      <c r="AI28" s="52">
        <v>0</v>
      </c>
      <c r="AJ28" s="52">
        <v>0</v>
      </c>
      <c r="AK28" s="52">
        <v>0</v>
      </c>
      <c r="AL28" s="52">
        <v>0</v>
      </c>
      <c r="AM28" s="52">
        <v>0</v>
      </c>
      <c r="AN28" s="52">
        <v>0</v>
      </c>
      <c r="AO28" s="52">
        <v>0</v>
      </c>
      <c r="AP28" s="52">
        <v>0</v>
      </c>
      <c r="AQ28" s="52">
        <v>0</v>
      </c>
      <c r="AR28" s="52">
        <v>0</v>
      </c>
      <c r="AS28" s="52">
        <v>0</v>
      </c>
      <c r="AT28" s="52">
        <v>0</v>
      </c>
      <c r="AU28" s="52">
        <v>0</v>
      </c>
      <c r="AV28" s="52">
        <v>0</v>
      </c>
      <c r="AW28" s="52">
        <v>0</v>
      </c>
      <c r="AX28" s="52">
        <v>0</v>
      </c>
      <c r="AY28" s="52">
        <v>0</v>
      </c>
      <c r="AZ28" s="52">
        <v>0</v>
      </c>
      <c r="BA28" s="52">
        <v>0</v>
      </c>
      <c r="BB28" s="52">
        <v>0</v>
      </c>
      <c r="BC28" s="52">
        <v>0</v>
      </c>
      <c r="BD28" s="52">
        <v>0</v>
      </c>
      <c r="BE28" s="52">
        <v>0</v>
      </c>
      <c r="BF28" s="52">
        <v>0</v>
      </c>
      <c r="BG28" s="52">
        <v>0</v>
      </c>
      <c r="BH28" s="52">
        <v>0</v>
      </c>
      <c r="BI28" s="52">
        <v>0</v>
      </c>
      <c r="BJ28" s="52">
        <v>0</v>
      </c>
      <c r="BK28" s="52" t="s">
        <v>228</v>
      </c>
      <c r="BL28" s="52" t="s">
        <v>166</v>
      </c>
      <c r="BM28" s="52">
        <v>0</v>
      </c>
      <c r="BN28" s="52" t="s">
        <v>174</v>
      </c>
      <c r="BO28" s="52"/>
      <c r="BP28" s="52" t="s">
        <v>168</v>
      </c>
      <c r="BQ28" s="52" t="s">
        <v>154</v>
      </c>
      <c r="BR28" s="52" t="s">
        <v>175</v>
      </c>
      <c r="BS28" s="52">
        <v>4</v>
      </c>
      <c r="BT28" s="52">
        <v>2</v>
      </c>
      <c r="BU28" s="52">
        <v>0</v>
      </c>
      <c r="BV28" s="52">
        <v>0</v>
      </c>
      <c r="BW28" s="52">
        <v>0</v>
      </c>
      <c r="BX28" s="52">
        <v>2</v>
      </c>
      <c r="BY28" s="52">
        <v>0</v>
      </c>
      <c r="BZ28" s="52">
        <v>0</v>
      </c>
      <c r="CA28" s="52">
        <v>0</v>
      </c>
      <c r="CB28" s="52">
        <v>0</v>
      </c>
      <c r="CC28" s="52">
        <v>0</v>
      </c>
      <c r="CD28" s="52">
        <v>6</v>
      </c>
      <c r="CE28" s="52">
        <v>0</v>
      </c>
      <c r="CF28" s="52"/>
      <c r="CG28" s="52"/>
      <c r="CH28" s="52">
        <v>0</v>
      </c>
      <c r="CI28" s="52">
        <v>6</v>
      </c>
      <c r="CJ28" s="52">
        <v>6</v>
      </c>
      <c r="CK28" s="55">
        <v>45855</v>
      </c>
      <c r="CL28" s="52"/>
      <c r="CM28" s="52"/>
      <c r="CN28" s="52" t="s">
        <v>12</v>
      </c>
      <c r="CO28" s="52"/>
      <c r="CP28" s="52"/>
    </row>
  </sheetData>
  <pageMargins left="0.7" right="0.7" top="0.75" bottom="0.75" header="0.3" footer="0.3"/>
  <pageSetup orientation="landscape" horizontalDpi="360" verticalDpi="36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7AC8-2A52-4B4C-8598-8299757837ED}">
  <sheetPr codeName="Sheet1"/>
  <dimension ref="A1:L97"/>
  <sheetViews>
    <sheetView topLeftCell="A6" zoomScaleNormal="100" zoomScaleSheetLayoutView="115" workbookViewId="0"/>
  </sheetViews>
  <sheetFormatPr defaultColWidth="0" defaultRowHeight="14.4" zeroHeight="1" x14ac:dyDescent="0.3"/>
  <cols>
    <col min="1" max="1" width="31.6640625" style="2" customWidth="1"/>
    <col min="2" max="7" width="16.6640625" style="2" customWidth="1"/>
    <col min="8" max="10" width="9.109375" style="33" hidden="1" customWidth="1"/>
    <col min="11" max="11" width="0" style="33" hidden="1" customWidth="1"/>
    <col min="12" max="12" width="0" style="2" hidden="1" customWidth="1"/>
    <col min="13" max="16384" width="9.109375" style="2" hidden="1"/>
  </cols>
  <sheetData>
    <row r="1" spans="1:9" ht="21" customHeight="1" x14ac:dyDescent="0.3">
      <c r="A1" s="43" t="s">
        <v>112</v>
      </c>
      <c r="B1" s="30"/>
      <c r="C1" s="30"/>
      <c r="D1" s="30"/>
      <c r="E1" s="30"/>
      <c r="F1" s="30"/>
      <c r="G1" s="30"/>
      <c r="I1" s="33" t="s">
        <v>86</v>
      </c>
    </row>
    <row r="2" spans="1:9" ht="18" customHeight="1" x14ac:dyDescent="0.3">
      <c r="A2" s="48" t="str">
        <f>CONCATENATE(IF(I2="*","All",I2)," Beds Summary")</f>
        <v>All Beds Summary</v>
      </c>
      <c r="B2" s="30"/>
      <c r="C2" s="30"/>
      <c r="D2" s="30"/>
      <c r="E2" s="30"/>
      <c r="F2" s="30"/>
      <c r="G2" s="30"/>
      <c r="I2" s="33" t="s">
        <v>111</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3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557</v>
      </c>
      <c r="C7" s="20">
        <f>SUMIFS(HicRawData[Beds HH w/ Children],
HicRawData[Project Type],$I$2,
HicRawData[Inventory Type],"C",
HicRawData[HMIS Participating],$I7)</f>
        <v>228</v>
      </c>
      <c r="D7" s="20">
        <f>SUMIFS(HicRawData[Beds HH w/ only Children],
HicRawData[Project Type],$I$2,
HicRawData[Inventory Type],"C",
HicRawData[HMIS Participating],$I7)</f>
        <v>14</v>
      </c>
      <c r="E7" s="20">
        <f>SUM(AllBeds_HmisParticipation[[#This Row],[Households without Children]:[Households with only Children]])</f>
        <v>799</v>
      </c>
      <c r="I7" s="33" t="s">
        <v>9</v>
      </c>
    </row>
    <row r="8" spans="1:9" ht="17.100000000000001" customHeight="1" x14ac:dyDescent="0.3">
      <c r="A8" s="10" t="s">
        <v>108</v>
      </c>
      <c r="B8" s="20">
        <f>SUMIFS(HicRawData[Beds HH w/o Children],
HicRawData[Project Type],$I$2,
HicRawData[Inventory Type],"C",
HicRawData[HMIS Participating],$I8)</f>
        <v>238</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SUM(AllBeds_HmisParticipation[[#This Row],[Households without Children]:[Households with only Children]])</f>
        <v>238</v>
      </c>
      <c r="I8" s="33" t="s">
        <v>12</v>
      </c>
    </row>
    <row r="9" spans="1:9" ht="17.100000000000001" customHeight="1" x14ac:dyDescent="0.3">
      <c r="A9" s="10" t="s">
        <v>130</v>
      </c>
      <c r="B9" s="20">
        <f>SUMIFS(HicRawData[Beds HH w/o Children],
HicRawData[Project Type],$I$2,
HicRawData[Inventory Type],"C",
HicRawData[HMIS Participating],$I9)</f>
        <v>15</v>
      </c>
      <c r="C9" s="20">
        <f>SUMIFS(HicRawData[Beds HH w/ Children],
HicRawData[Project Type],$I$2,
HicRawData[Inventory Type],"C",
HicRawData[HMIS Participating],$I9)</f>
        <v>30</v>
      </c>
      <c r="D9" s="20">
        <f>SUMIFS(HicRawData[Beds HH w/ only Children],
HicRawData[Project Type],$I$2,
HicRawData[Inventory Type],"C",
HicRawData[HMIS Participating],$I9)</f>
        <v>0</v>
      </c>
      <c r="E9" s="20">
        <f>SUM(AllBeds_HmisParticipation[[#This Row],[Households without Children]:[Households with only Children]])</f>
        <v>45</v>
      </c>
      <c r="I9" s="33" t="s">
        <v>115</v>
      </c>
    </row>
    <row r="10" spans="1:9" ht="17.100000000000001" customHeight="1" x14ac:dyDescent="0.3">
      <c r="A10" s="2" t="s">
        <v>100</v>
      </c>
      <c r="B10" s="20">
        <f>SUBTOTAL(109,AllBeds_HmisParticipation[Households without Children])</f>
        <v>810</v>
      </c>
      <c r="C10" s="20">
        <f>SUBTOTAL(109,AllBeds_HmisParticipation[Households with Children])</f>
        <v>258</v>
      </c>
      <c r="D10" s="20">
        <f>SUBTOTAL(109,AllBeds_HmisParticipation[Households with only Children])</f>
        <v>14</v>
      </c>
      <c r="E10" s="20">
        <f>SUBTOTAL(109,AllBeds_HmisParticipation[Total Year-Round Beds])</f>
        <v>1082</v>
      </c>
    </row>
    <row r="11" spans="1:9" ht="15" customHeight="1" x14ac:dyDescent="0.3">
      <c r="A11" s="4" t="s">
        <v>101</v>
      </c>
      <c r="B11" s="21">
        <f>IF(B7=0,"N/A",B7/AllBeds_HmisParticipation[[#Totals],[Households without Children]])</f>
        <v>0.68765432098765433</v>
      </c>
      <c r="C11" s="21">
        <f>IF(C7=0,"N/A",C7/AllBeds_HmisParticipation[[#Totals],[Households with Children]])</f>
        <v>0.88372093023255816</v>
      </c>
      <c r="D11" s="21">
        <f>IF(D7=0,"N/A",D7/AllBeds_HmisParticipation[[#Totals],[Households with only Children]])</f>
        <v>1</v>
      </c>
      <c r="E11" s="21">
        <f>IF(E7=0,"N/A",E7/AllBeds_HmisParticipation[[#Totals],[Total Year-Round Beds]])</f>
        <v>0.73844731977818856</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557</v>
      </c>
      <c r="C14" s="20">
        <f>SUMIFS(HicRawData[Beds HH w/ Children],
HicRawData[Project Type],$I$2,
HicRawData[Inventory Type],"C",
HicRawData[HMIS Participating],$I14,
HicRawData[Victim Service Provider],0)</f>
        <v>228</v>
      </c>
      <c r="D14" s="20">
        <f>SUMIFS(HicRawData[Beds HH w/ only Children],
HicRawData[Project Type],$I$2,
HicRawData[Inventory Type],"C",
HicRawData[HMIS Participating],$I14,
HicRawData[Victim Service Provider],0)</f>
        <v>14</v>
      </c>
      <c r="E14" s="20">
        <f>SUM(AllBeds_NonVspHmisParticipation[[#This Row],[Households without Children]:[Households with only Children]])</f>
        <v>799</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238</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SUM(AllBeds_NonVspHmisParticipation[[#This Row],[Households without Children]:[Households with only Children]])</f>
        <v>238</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SUM(AllBeds_NonVspHmisParticipation[[#This Row],[Households without Children]:[Households with only Children]])</f>
        <v>0</v>
      </c>
      <c r="I16" s="33" t="s">
        <v>115</v>
      </c>
    </row>
    <row r="17" spans="1:9" ht="17.100000000000001" customHeight="1" x14ac:dyDescent="0.3">
      <c r="A17" s="10" t="s">
        <v>100</v>
      </c>
      <c r="B17" s="22">
        <f>SUBTOTAL(109,AllBeds_NonVspHmisParticipation[Households without Children])</f>
        <v>795</v>
      </c>
      <c r="C17" s="22">
        <f>SUBTOTAL(109,AllBeds_NonVspHmisParticipation[Households with Children])</f>
        <v>228</v>
      </c>
      <c r="D17" s="22">
        <f>SUBTOTAL(109,AllBeds_NonVspHmisParticipation[Households with only Children])</f>
        <v>14</v>
      </c>
      <c r="E17" s="22">
        <f>SUBTOTAL(109,AllBeds_NonVspHmisParticipation[Total Year-Round Beds])</f>
        <v>1037</v>
      </c>
    </row>
    <row r="18" spans="1:9" ht="15" customHeight="1" x14ac:dyDescent="0.3">
      <c r="A18" s="4" t="s">
        <v>128</v>
      </c>
      <c r="B18" s="21">
        <f>IF(B14=0,"N/A",B14/AllBeds_NonVspHmisParticipation[[#Totals],[Households without Children]])</f>
        <v>0.70062893081761002</v>
      </c>
      <c r="C18" s="21">
        <f>IF(C14=0,"N/A",C14/AllBeds_NonVspHmisParticipation[[#Totals],[Households with Children]])</f>
        <v>1</v>
      </c>
      <c r="D18" s="21">
        <f>IF(D14=0,"N/A",D14/AllBeds_NonVspHmisParticipation[[#Totals],[Households with only Children]])</f>
        <v>1</v>
      </c>
      <c r="E18" s="21">
        <f>IF(E14=0,"N/A",E14/AllBeds_NonVspHmisParticipation[[#Totals],[Total Year-Round Beds]])</f>
        <v>0.77049180327868849</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34"/>
    </row>
    <row r="21" spans="1:9" ht="17.100000000000001" customHeight="1" x14ac:dyDescent="0.3">
      <c r="A21" s="2" t="s">
        <v>8</v>
      </c>
      <c r="B21" s="24">
        <f>SUMIFS(HicRawData[Beds HH w/o Children],
HicRawData[Project Type],$I$2,
HicRawData[Inventory Type],"C",
HicRawData[Target Population],AllBeds_TargetPopulation[[#This Row],[Beds by Target Population]])</f>
        <v>15</v>
      </c>
      <c r="C21" s="24">
        <f>SUMIFS(HicRawData[Beds HH w/ Children],
HicRawData[Project Type],$I$2,
HicRawData[Inventory Type],"C",
HicRawData[Target Population],AllBeds_TargetPopulation[[#This Row],[Beds by Target Population]])</f>
        <v>30</v>
      </c>
      <c r="D21" s="24">
        <f>SUMIFS(HicRawData[Beds HH w/ only Children],
HicRawData[Project Type],$I$2,
HicRawData[Inventory Type],"C",
HicRawData[Target Population],AllBeds_TargetPopulation[[#This Row],[Beds by Target Population]])</f>
        <v>0</v>
      </c>
      <c r="E21" s="24">
        <f>SUM(AllBeds_TargetPopulation[[#This Row],[Households without Children]:[Households with only Children]])</f>
        <v>45</v>
      </c>
    </row>
    <row r="22" spans="1:9" ht="17.100000000000001" customHeight="1" x14ac:dyDescent="0.3">
      <c r="A22" s="2" t="s">
        <v>10</v>
      </c>
      <c r="B22" s="24">
        <f>SUMIFS(HicRawData[Beds HH w/o Children],
HicRawData[Project Type],$I$2,
HicRawData[Inventory Type],"C",
HicRawData[Target Population],AllBeds_TargetPopulation[[#This Row],[Beds by Target Population]])</f>
        <v>17</v>
      </c>
      <c r="C22" s="24">
        <f>SUMIFS(HicRawData[Beds HH w/ Children],
HicRawData[Project Type],$I$2,
HicRawData[Inventory Type],"C",
HicRawData[Target Population],AllBeds_TargetPopulation[[#This Row],[Beds by Target Population]])</f>
        <v>0</v>
      </c>
      <c r="D22" s="24">
        <f>SUMIFS(HicRawData[Beds HH w/ only Children],
HicRawData[Project Type],$I$2,
HicRawData[Inventory Type],"C",
HicRawData[Target Population],AllBeds_TargetPopulation[[#This Row],[Beds by Target Population]])</f>
        <v>0</v>
      </c>
      <c r="E22" s="24">
        <f>SUM(AllBeds_TargetPopulation[[#This Row],[Households without Children]:[Households with only Children]])</f>
        <v>17</v>
      </c>
    </row>
    <row r="23" spans="1:9" ht="17.100000000000001" customHeight="1" x14ac:dyDescent="0.3">
      <c r="A23" s="2" t="s">
        <v>0</v>
      </c>
      <c r="B23" s="24">
        <f>SUMIFS(HicRawData[Beds HH w/o Children],
HicRawData[Project Type],$I$2,
HicRawData[Inventory Type],"C",
HicRawData[Target Population],AllBeds_TargetPopulation[[#This Row],[Beds by Target Population]])</f>
        <v>778</v>
      </c>
      <c r="C23" s="24">
        <f>SUMIFS(HicRawData[Beds HH w/ Children],
HicRawData[Project Type],$I$2,
HicRawData[Inventory Type],"C",
HicRawData[Target Population],AllBeds_TargetPopulation[[#This Row],[Beds by Target Population]])</f>
        <v>228</v>
      </c>
      <c r="D23" s="24">
        <f>SUMIFS(HicRawData[Beds HH w/ only Children],
HicRawData[Project Type],$I$2,
HicRawData[Inventory Type],"C",
HicRawData[Target Population],AllBeds_TargetPopulation[[#This Row],[Beds by Target Population]])</f>
        <v>14</v>
      </c>
      <c r="E23" s="24">
        <f>SUM(AllBeds_TargetPopulation[[#This Row],[Households without Children]:[Households with only Children]])</f>
        <v>1020</v>
      </c>
    </row>
    <row r="24" spans="1:9" ht="15" customHeight="1" x14ac:dyDescent="0.3">
      <c r="A24" s="2" t="s">
        <v>100</v>
      </c>
      <c r="B24" s="25">
        <f>SUBTOTAL(109,AllBeds_TargetPopulation[Households without Children])</f>
        <v>810</v>
      </c>
      <c r="C24" s="25">
        <f>SUBTOTAL(109,AllBeds_TargetPopulation[Households with Children])</f>
        <v>258</v>
      </c>
      <c r="D24" s="25">
        <f>SUBTOTAL(109,AllBeds_TargetPopulation[Households with only Children])</f>
        <v>14</v>
      </c>
      <c r="E24" s="25">
        <f>SUBTOTAL(109,AllBeds_TargetPopulation[Total Year-Round Beds])</f>
        <v>1082</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810</v>
      </c>
      <c r="C27" s="24">
        <f>SUMIFS(HicRawData[Beds HH w/ Children],
HicRawData[Project Type],$I$2,
HicRawData[Inventory Type],$I27)</f>
        <v>258</v>
      </c>
      <c r="D27" s="24">
        <f>SUMIFS(HicRawData[Beds HH w/ only Children],
HicRawData[Project Type],$I$2,
HicRawData[Inventory Type],$I27)</f>
        <v>14</v>
      </c>
      <c r="E27" s="24">
        <f>SUM(AllBeds_InventoryType[[#This Row],[Households without Children]:[Households with only Children]])</f>
        <v>1082</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SUM(AllBeds_InventoryType[[#This Row],[Households without Children]:[Households with only Children]])</f>
        <v>0</v>
      </c>
      <c r="I28" s="33" t="s">
        <v>6</v>
      </c>
    </row>
    <row r="29" spans="1:9" ht="15" customHeight="1" x14ac:dyDescent="0.3">
      <c r="A29" s="2" t="s">
        <v>100</v>
      </c>
      <c r="B29" s="25">
        <f>SUBTOTAL(109,AllBeds_InventoryType[Households without Children])</f>
        <v>810</v>
      </c>
      <c r="C29" s="25">
        <f>SUBTOTAL(109,AllBeds_InventoryType[Households with Children])</f>
        <v>258</v>
      </c>
      <c r="D29" s="25">
        <f>SUBTOTAL(109,AllBeds_InventoryType[Households with only Children])</f>
        <v>14</v>
      </c>
      <c r="E29" s="25">
        <f>SUBTOTAL(109,AllBeds_InventoryType[Total Year-Round Beds])</f>
        <v>1082</v>
      </c>
    </row>
    <row r="30" spans="1:9" ht="15" customHeight="1" x14ac:dyDescent="0.3">
      <c r="B30" s="25"/>
      <c r="C30" s="25"/>
      <c r="D30" s="25"/>
      <c r="E30" s="25"/>
    </row>
    <row r="31" spans="1:9" ht="72" customHeight="1" x14ac:dyDescent="0.3">
      <c r="A31" s="18" t="s">
        <v>110</v>
      </c>
      <c r="B31" s="28" t="s">
        <v>109</v>
      </c>
      <c r="C31" s="28" t="s">
        <v>126</v>
      </c>
      <c r="D31" s="28"/>
      <c r="E31" s="25"/>
      <c r="I31" s="33" t="s">
        <v>84</v>
      </c>
    </row>
    <row r="32" spans="1:9" ht="15" customHeight="1" x14ac:dyDescent="0.3">
      <c r="A32" s="2" t="s">
        <v>107</v>
      </c>
      <c r="B32" s="20">
        <f>SUMIFS(HicRawData[Total Seasonal Beds],
HicRawData[Project Type],$I$2,
HicRawData[Inventory Type],"C",
HicRawData[HMIS Participating],$I32)</f>
        <v>0</v>
      </c>
      <c r="C32" s="24">
        <f>SUMIFS(HicRawData[O/V Beds],
HicRawData[Project Type],$I$2,
HicRawData[Inventory Type],"C",
HicRawData[HMIS Participating],$I32)</f>
        <v>86</v>
      </c>
      <c r="D32" s="27"/>
      <c r="E32" s="25"/>
      <c r="I32" s="33" t="s">
        <v>9</v>
      </c>
    </row>
    <row r="33" spans="1:12" ht="15" customHeight="1" x14ac:dyDescent="0.3">
      <c r="A33" s="2" t="s">
        <v>108</v>
      </c>
      <c r="B33" s="20">
        <f>SUMIFS(HicRawData[Total Seasonal Beds],
HicRawData[Project Type],$I$2,
HicRawData[Inventory Type],"C",
HicRawData[HMIS Participating],$I33)</f>
        <v>0</v>
      </c>
      <c r="C33" s="24">
        <f>SUMIFS(HicRawData[O/V Beds],
HicRawData[Project Type],$I$2,
HicRawData[Inventory Type],"C",
HicRawData[HMIS Participating],$I33)</f>
        <v>0</v>
      </c>
      <c r="D33" s="27"/>
      <c r="E33" s="25"/>
      <c r="F33" s="25"/>
      <c r="I33" s="33" t="s">
        <v>12</v>
      </c>
    </row>
    <row r="34" spans="1:12" ht="15" customHeight="1" x14ac:dyDescent="0.3">
      <c r="A34" s="2" t="s">
        <v>130</v>
      </c>
      <c r="B34" s="20">
        <f>SUMIFS(HicRawData[Total Seasonal Beds],
HicRawData[Project Type],$I$2,
HicRawData[Inventory Type],"C",
HicRawData[HMIS Participating],$I34)</f>
        <v>0</v>
      </c>
      <c r="C34" s="24">
        <f>SUMIFS(HicRawData[O/V Beds],
HicRawData[Project Type],$I$2,
HicRawData[Inventory Type],"C",
HicRawData[HMIS Participating],$I34)</f>
        <v>0</v>
      </c>
      <c r="D34" s="27"/>
      <c r="E34" s="25"/>
      <c r="F34" s="25"/>
      <c r="I34" s="33" t="s">
        <v>115</v>
      </c>
    </row>
    <row r="35" spans="1:12" ht="15" customHeight="1" x14ac:dyDescent="0.3">
      <c r="A35" s="2" t="s">
        <v>100</v>
      </c>
      <c r="B35" s="22">
        <f>SUBTOTAL(109,AllBeds_SeasonalOverflow[Total Seasonal Beds (Regardless of Availability)])</f>
        <v>0</v>
      </c>
      <c r="C35" s="24">
        <f>SUBTOTAL(109,AllBeds_SeasonalOverflow[Total Overflow Beds])</f>
        <v>86</v>
      </c>
      <c r="D35" s="25"/>
      <c r="E35" s="2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AllBeds_ProjectType[[#This Row],[All Beds by Project Type]])</f>
        <v>304</v>
      </c>
      <c r="C38" s="24">
        <f>SUMIFS(HicRawData[Beds HH w/ Children],
HicRawData[Project Type],$I$2,
HicRawData[Inventory Type],"C",
HicRawData[Project Type], AllBeds_ProjectType[[#This Row],[All Beds by Project Type]])</f>
        <v>159</v>
      </c>
      <c r="D38" s="24">
        <f>SUMIFS(HicRawData[Beds HH w/ only Children],
HicRawData[Project Type],$I$2,
HicRawData[Inventory Type],"C",
HicRawData[Project Type], AllBeds_ProjectType[[#This Row],[All Beds by Project Type]])</f>
        <v>12</v>
      </c>
      <c r="E38" s="24">
        <f>SUM(AllBeds_ProjectType[[#This Row],[Households without Children]:[Households with only Children]])</f>
        <v>475</v>
      </c>
    </row>
    <row r="39" spans="1:12" ht="17.100000000000001" customHeight="1" x14ac:dyDescent="0.3">
      <c r="A39" s="2" t="s">
        <v>2</v>
      </c>
      <c r="B39" s="24">
        <f>SUMIFS(HicRawData[Beds HH w/o Children],
HicRawData[Project Type],$I$2,
HicRawData[Inventory Type],"C",
HicRawData[Project Type], AllBeds_ProjectType[[#This Row],[All Beds by Project Type]])</f>
        <v>71</v>
      </c>
      <c r="C39" s="24">
        <f>SUMIFS(HicRawData[Beds HH w/ Children],
HicRawData[Project Type],$I$2,
HicRawData[Inventory Type],"C",
HicRawData[Project Type], AllBeds_ProjectType[[#This Row],[All Beds by Project Type]])</f>
        <v>27</v>
      </c>
      <c r="D39" s="24">
        <f>SUMIFS(HicRawData[Beds HH w/ only Children],
HicRawData[Project Type],$I$2,
HicRawData[Inventory Type],"C",
HicRawData[Project Type], AllBeds_ProjectType[[#This Row],[All Beds by Project Type]])</f>
        <v>2</v>
      </c>
      <c r="E39" s="24">
        <f>SUM(AllBeds_ProjectType[[#This Row],[Households without Children]:[Households with only Children]])</f>
        <v>100</v>
      </c>
      <c r="H39" s="35"/>
    </row>
    <row r="40" spans="1:12" ht="17.100000000000001" customHeight="1" x14ac:dyDescent="0.3">
      <c r="A40" s="2" t="s">
        <v>11</v>
      </c>
      <c r="B40" s="24">
        <f>SUMIFS(HicRawData[Beds HH w/o Children],
HicRawData[Project Type],$I$2,
HicRawData[Inventory Type],"C",
HicRawData[Project Type], AllBeds_ProjectType[[#This Row],[All Beds by Project Type]])</f>
        <v>0</v>
      </c>
      <c r="C40" s="24">
        <f>SUMIFS(HicRawData[Beds HH w/ Children],
HicRawData[Project Type],$I$2,
HicRawData[Inventory Type],"C",
HicRawData[Project Type], AllBeds_ProjectType[[#This Row],[All Beds by Project Type]])</f>
        <v>0</v>
      </c>
      <c r="D40" s="24">
        <f>SUMIFS(HicRawData[Beds HH w/ only Children],
HicRawData[Project Type],$I$2,
HicRawData[Inventory Type],"C",
HicRawData[Project Type], AllBeds_ProjectType[[#This Row],[All Beds by Project Type]])</f>
        <v>0</v>
      </c>
      <c r="E40" s="24">
        <f>SUM(AllBeds_ProjectType[[#This Row],[Households without Children]:[Households with only Children]])</f>
        <v>0</v>
      </c>
      <c r="H40" s="35"/>
    </row>
    <row r="41" spans="1:12" ht="17.100000000000001" customHeight="1" x14ac:dyDescent="0.3">
      <c r="A41" s="2" t="s">
        <v>4</v>
      </c>
      <c r="B41" s="24">
        <f>SUMIFS(HicRawData[Beds HH w/o Children],
HicRawData[Project Type],$I$2,
HicRawData[Inventory Type],"C",
HicRawData[Project Type], AllBeds_ProjectType[[#This Row],[All Beds by Project Type]])</f>
        <v>86</v>
      </c>
      <c r="C41" s="24">
        <f>SUMIFS(HicRawData[Beds HH w/ Children],
HicRawData[Project Type],$I$2,
HicRawData[Inventory Type],"C",
HicRawData[Project Type], AllBeds_ProjectType[[#This Row],[All Beds by Project Type]])</f>
        <v>49</v>
      </c>
      <c r="D41" s="24">
        <f>SUMIFS(HicRawData[Beds HH w/ only Children],
HicRawData[Project Type],$I$2,
HicRawData[Inventory Type],"C",
HicRawData[Project Type], AllBeds_ProjectType[[#This Row],[All Beds by Project Type]])</f>
        <v>0</v>
      </c>
      <c r="E41" s="24">
        <f>SUM(AllBeds_ProjectType[[#This Row],[Households without Children]:[Households with only Children]])</f>
        <v>135</v>
      </c>
    </row>
    <row r="42" spans="1:12" ht="17.100000000000001" customHeight="1" x14ac:dyDescent="0.3">
      <c r="A42" s="2" t="s">
        <v>5</v>
      </c>
      <c r="B42" s="24">
        <f>SUMIFS(HicRawData[Beds HH w/o Children],
HicRawData[Project Type],$I$2,
HicRawData[Inventory Type],"C",
HicRawData[Project Type], AllBeds_ProjectType[[#This Row],[All Beds by Project Type]])</f>
        <v>349</v>
      </c>
      <c r="C42" s="24">
        <f>SUMIFS(HicRawData[Beds HH w/ Children],
HicRawData[Project Type],$I$2,
HicRawData[Inventory Type],"C",
HicRawData[Project Type], AllBeds_ProjectType[[#This Row],[All Beds by Project Type]])</f>
        <v>23</v>
      </c>
      <c r="D42" s="24">
        <f>SUMIFS(HicRawData[Beds HH w/ only Children],
HicRawData[Project Type],$I$2,
HicRawData[Inventory Type],"C",
HicRawData[Project Type], AllBeds_ProjectType[[#This Row],[All Beds by Project Type]])</f>
        <v>0</v>
      </c>
      <c r="E42" s="24">
        <f>SUM(AllBeds_ProjectType[[#This Row],[Households without Children]:[Households with only Children]])</f>
        <v>372</v>
      </c>
    </row>
    <row r="43" spans="1:12" ht="17.100000000000001" customHeight="1" x14ac:dyDescent="0.3">
      <c r="A43" s="2" t="s">
        <v>7</v>
      </c>
      <c r="B43" s="24">
        <f>SUMIFS(HicRawData[Beds HH w/o Children],
HicRawData[Project Type],$I$2,
HicRawData[Inventory Type],"C",
HicRawData[Project Type], AllBeds_ProjectType[[#This Row],[All Beds by Project Type]])</f>
        <v>0</v>
      </c>
      <c r="C43" s="24">
        <f>SUMIFS(HicRawData[Beds HH w/ Children],
HicRawData[Project Type],$I$2,
HicRawData[Inventory Type],"C",
HicRawData[Project Type], AllBeds_ProjectType[[#This Row],[All Beds by Project Type]])</f>
        <v>0</v>
      </c>
      <c r="D43" s="24">
        <f>SUMIFS(HicRawData[Beds HH w/ only Children],
HicRawData[Project Type],$I$2,
HicRawData[Inventory Type],"C",
HicRawData[Project Type], AllBeds_ProjectType[[#This Row],[All Beds by Project Type]])</f>
        <v>0</v>
      </c>
      <c r="E43" s="24">
        <f>SUM(AllBeds_ProjectType[[#This Row],[Households without Children]:[Households with only Children]])</f>
        <v>0</v>
      </c>
    </row>
    <row r="44" spans="1:12" ht="15" customHeight="1" x14ac:dyDescent="0.3">
      <c r="A44" s="2" t="s">
        <v>100</v>
      </c>
      <c r="B44" s="25">
        <f>SUBTOTAL(109,AllBeds_ProjectType[Households without Children])</f>
        <v>810</v>
      </c>
      <c r="C44" s="25">
        <f>SUBTOTAL(109,AllBeds_ProjectType[Households with Children])</f>
        <v>258</v>
      </c>
      <c r="D44" s="25">
        <f>SUBTOTAL(109,AllBeds_ProjectType[Households with only Children])</f>
        <v>14</v>
      </c>
      <c r="E44" s="25">
        <f>SUBTOTAL(109,AllBeds_ProjectType[Total Year-Round Beds])</f>
        <v>1082</v>
      </c>
    </row>
    <row r="45" spans="1:12" ht="15" customHeight="1" x14ac:dyDescent="0.3">
      <c r="B45" s="25"/>
      <c r="C45" s="25"/>
      <c r="D45" s="25"/>
      <c r="E45" s="25"/>
    </row>
    <row r="46" spans="1:12" ht="72" customHeight="1" x14ac:dyDescent="0.3">
      <c r="A46" s="18" t="s">
        <v>125</v>
      </c>
      <c r="B46" s="18" t="s">
        <v>96</v>
      </c>
      <c r="C46" s="18" t="s">
        <v>97</v>
      </c>
      <c r="D46" s="18" t="s">
        <v>98</v>
      </c>
      <c r="E46" s="18" t="s">
        <v>99</v>
      </c>
      <c r="J46" s="36"/>
      <c r="K46" s="36"/>
      <c r="L46" s="12"/>
    </row>
    <row r="47" spans="1:12" ht="17.100000000000001" customHeight="1" x14ac:dyDescent="0.3">
      <c r="A47" s="2" t="s">
        <v>3</v>
      </c>
      <c r="B47" s="24">
        <f>SUMIFS(HicRawData[Beds HH w/o Children],
HicRawData[Project Type],$I$2,
HicRawData[Inventory Type],"C",
HicRawData[Project Type], AllBeds_ProjectTypeHmisParticipation[[#This Row],[HMIS Beds by Project Type]],
HicRawData[HMIS Participating], "Yes")</f>
        <v>293</v>
      </c>
      <c r="C47" s="24">
        <f>SUMIFS(HicRawData[Beds HH w/ Children],
HicRawData[Project Type],$I$2,
HicRawData[Inventory Type],"C",
HicRawData[Project Type], AllBeds_ProjectTypeHmisParticipation[[#This Row],[HMIS Beds by Project Type]],
HicRawData[HMIS Participating], "Yes")</f>
        <v>150</v>
      </c>
      <c r="D47" s="24">
        <f>SUMIFS(HicRawData[Beds HH w/ only Children],
HicRawData[Project Type],$I$2,
HicRawData[Inventory Type],"C",
HicRawData[Project Type], AllBeds_ProjectTypeHmisParticipation[[#This Row],[HMIS Beds by Project Type]],
HicRawData[HMIS Participating], "Yes")</f>
        <v>12</v>
      </c>
      <c r="E47" s="23">
        <f>B47+C47+D47</f>
        <v>455</v>
      </c>
    </row>
    <row r="48" spans="1:12" ht="17.100000000000001" customHeight="1" x14ac:dyDescent="0.3">
      <c r="A48" s="2" t="s">
        <v>2</v>
      </c>
      <c r="B48" s="23">
        <f>SUMIFS(HicRawData[Beds HH w/o Children],
HicRawData[Project Type],$I$2,
HicRawData[Inventory Type],"C",
HicRawData[Project Type], AllBeds_ProjectTypeHmisParticipation[[#This Row],[HMIS Beds by Project Type]],
HicRawData[HMIS Participating], "Yes")</f>
        <v>67</v>
      </c>
      <c r="C48" s="23">
        <f>SUMIFS(HicRawData[Beds HH w/ Children],
HicRawData[Project Type],$I$2,
HicRawData[Inventory Type],"C",
HicRawData[Project Type], AllBeds_ProjectTypeHmisParticipation[[#This Row],[HMIS Beds by Project Type]],
HicRawData[HMIS Participating], "Yes")</f>
        <v>6</v>
      </c>
      <c r="D48" s="23">
        <f>SUMIFS(HicRawData[Beds HH w/ only Children],
HicRawData[Project Type],$I$2,
HicRawData[Inventory Type],"C",
HicRawData[Project Type], AllBeds_ProjectTypeHmisParticipation[[#This Row],[HMIS Beds by Project Type]],
HicRawData[HMIS Participating], "Yes")</f>
        <v>2</v>
      </c>
      <c r="E48" s="23">
        <f t="shared" ref="E48:E52" si="0">B48+C48+D48</f>
        <v>75</v>
      </c>
    </row>
    <row r="49" spans="1:5" ht="17.100000000000001" customHeight="1" x14ac:dyDescent="0.3">
      <c r="A49" s="2" t="s">
        <v>11</v>
      </c>
      <c r="B49" s="23">
        <f>SUMIFS(HicRawData[Beds HH w/o Children],
HicRawData[Project Type],$I$2,
HicRawData[Inventory Type],"C",
HicRawData[Project Type], AllBeds_ProjectTypeHmisParticipation[[#This Row],[HMIS Beds by Project Type]],
HicRawData[HMIS Participating], "Yes")</f>
        <v>0</v>
      </c>
      <c r="C49" s="23">
        <f>SUMIFS(HicRawData[Beds HH w/ Children],
HicRawData[Project Type],$I$2,
HicRawData[Inventory Type],"C",
HicRawData[Project Type], AllBeds_ProjectTypeHmisParticipation[[#This Row],[HMIS Beds by Project Type]],
HicRawData[HMIS Participating], "Yes")</f>
        <v>0</v>
      </c>
      <c r="D49" s="23">
        <f>SUMIFS(HicRawData[Beds HH w/ only Children],
HicRawData[Project Type],$I$2,
HicRawData[Inventory Type],"C",
HicRawData[Project Type], AllBeds_ProjectTypeHmisParticipation[[#This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AllBeds_ProjectTypeHmisParticipation[[#This Row],[HMIS Beds by Project Type]],
HicRawData[HMIS Participating], "Yes")</f>
        <v>69</v>
      </c>
      <c r="C50" s="23">
        <f>SUMIFS(HicRawData[Beds HH w/ Children],
HicRawData[Project Type],$I$2,
HicRawData[Inventory Type],"C",
HicRawData[Project Type], AllBeds_ProjectTypeHmisParticipation[[#This Row],[HMIS Beds by Project Type]],
HicRawData[HMIS Participating], "Yes")</f>
        <v>49</v>
      </c>
      <c r="D50" s="23">
        <f>SUMIFS(HicRawData[Beds HH w/ only Children],
HicRawData[Project Type],$I$2,
HicRawData[Inventory Type],"C",
HicRawData[Project Type], AllBeds_ProjectTypeHmisParticipation[[#This Row],[HMIS Beds by Project Type]],
HicRawData[HMIS Participating], "Yes")</f>
        <v>0</v>
      </c>
      <c r="E50" s="23">
        <f t="shared" si="0"/>
        <v>118</v>
      </c>
    </row>
    <row r="51" spans="1:5" ht="17.100000000000001" customHeight="1" x14ac:dyDescent="0.3">
      <c r="A51" s="2" t="s">
        <v>5</v>
      </c>
      <c r="B51" s="23">
        <f>SUMIFS(HicRawData[Beds HH w/o Children],
HicRawData[Project Type],$I$2,
HicRawData[Inventory Type],"C",
HicRawData[Project Type], AllBeds_ProjectTypeHmisParticipation[[#This Row],[HMIS Beds by Project Type]],
HicRawData[HMIS Participating], "Yes")</f>
        <v>128</v>
      </c>
      <c r="C51" s="23">
        <f>SUMIFS(HicRawData[Beds HH w/ Children],
HicRawData[Project Type],$I$2,
HicRawData[Inventory Type],"C",
HicRawData[Project Type], AllBeds_ProjectTypeHmisParticipation[[#This Row],[HMIS Beds by Project Type]],
HicRawData[HMIS Participating], "Yes")</f>
        <v>23</v>
      </c>
      <c r="D51" s="23">
        <f>SUMIFS(HicRawData[Beds HH w/ only Children],
HicRawData[Project Type],$I$2,
HicRawData[Inventory Type],"C",
HicRawData[Project Type], AllBeds_ProjectTypeHmisParticipation[[#This Row],[HMIS Beds by Project Type]],
HicRawData[HMIS Participating], "Yes")</f>
        <v>0</v>
      </c>
      <c r="E51" s="23">
        <f t="shared" si="0"/>
        <v>151</v>
      </c>
    </row>
    <row r="52" spans="1:5" ht="17.100000000000001" customHeight="1" x14ac:dyDescent="0.3">
      <c r="A52" s="2" t="s">
        <v>7</v>
      </c>
      <c r="B52" s="23">
        <f>SUMIFS(HicRawData[Beds HH w/o Children],
HicRawData[Project Type],$I$2,
HicRawData[Inventory Type],"C",
HicRawData[Project Type], AllBeds_ProjectTypeHmisParticipation[[#This Row],[HMIS Beds by Project Type]],
HicRawData[HMIS Participating], "Yes")</f>
        <v>0</v>
      </c>
      <c r="C52" s="23">
        <f>SUMIFS(HicRawData[Beds HH w/ Children],
HicRawData[Project Type],$I$2,
HicRawData[Inventory Type],"C",
HicRawData[Project Type], AllBeds_ProjectTypeHmisParticipation[[#This Row],[HMIS Beds by Project Type]],
HicRawData[HMIS Participating], "Yes")</f>
        <v>0</v>
      </c>
      <c r="D52" s="23">
        <f>SUMIFS(HicRawData[Beds HH w/ only Children],
HicRawData[Project Type],$I$2,
HicRawData[Inventory Type],"C",
HicRawData[Project Type], AllBeds_ProjectTypeHmisParticipation[[#This Row],[HMIS Beds by Project Type]],
HicRawData[HMIS Participating], "Yes")</f>
        <v>0</v>
      </c>
      <c r="E52" s="23">
        <f t="shared" si="0"/>
        <v>0</v>
      </c>
    </row>
    <row r="53" spans="1:5" x14ac:dyDescent="0.3">
      <c r="A53" s="2" t="s">
        <v>100</v>
      </c>
      <c r="B53" s="26">
        <f>SUBTOTAL(109,AllBeds_ProjectTypeHmisParticipation[Households without Children])</f>
        <v>557</v>
      </c>
      <c r="C53" s="26">
        <f>SUBTOTAL(109,AllBeds_ProjectTypeHmisParticipation[Households with Children])</f>
        <v>228</v>
      </c>
      <c r="D53" s="26">
        <f>SUBTOTAL(109,AllBeds_ProjectTypeHmisParticipation[Households with only Children])</f>
        <v>14</v>
      </c>
      <c r="E53" s="23">
        <f>SUBTOTAL(109,AllBeds_ProjectTypeHmisParticipation[Total Year-Round Beds])</f>
        <v>799</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8"/>
      <c r="B60" s="9"/>
      <c r="C60" s="1"/>
      <c r="D60" s="1"/>
      <c r="E60" s="1"/>
    </row>
    <row r="61" spans="1:5" x14ac:dyDescent="0.3">
      <c r="A61" s="8"/>
      <c r="B61" s="9"/>
      <c r="C61" s="1"/>
      <c r="D61" s="1"/>
      <c r="E61" s="1"/>
    </row>
    <row r="62" spans="1:5" x14ac:dyDescent="0.3">
      <c r="A62" s="8"/>
      <c r="B62" s="9"/>
      <c r="C62" s="1"/>
      <c r="D62" s="1"/>
      <c r="E62" s="1"/>
    </row>
    <row r="63" spans="1:5" x14ac:dyDescent="0.3">
      <c r="A63" s="8"/>
      <c r="B63" s="9"/>
      <c r="C63" s="1"/>
      <c r="D63" s="1"/>
      <c r="E63" s="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j3HKIXjHk3zH4cywMB5obLKPZLdylE2z1vpqTw/vWf/vX0NBBdT2kR+Byaq/XVlLMNGtrMlRO3P1tNZe3Z1aKg==" saltValue="ioup0TFpOu4gBeYgwQHbBQ==" spinCount="100000" sheet="1" objects="1" scenarios="1"/>
  <conditionalFormatting sqref="A4:G4">
    <cfRule type="expression" dxfId="20"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7">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319-8C22-4C1D-A954-27103BB2ED14}">
  <sheetPr codeName="Sheet2"/>
  <dimension ref="A1:L97"/>
  <sheetViews>
    <sheetView zoomScaleNormal="100" zoomScaleSheetLayoutView="115" workbookViewId="0"/>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ES Beds Summary</v>
      </c>
      <c r="B2" s="30"/>
      <c r="C2" s="30"/>
      <c r="D2" s="30"/>
      <c r="E2" s="30"/>
      <c r="F2" s="30"/>
      <c r="G2" s="30"/>
      <c r="I2" s="33" t="s">
        <v>3</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293</v>
      </c>
      <c r="C7" s="20">
        <f>SUMIFS(HicRawData[Beds HH w/ Children],
HicRawData[Project Type],$I$2,
HicRawData[Inventory Type],"C",
HicRawData[HMIS Participating],$I7)</f>
        <v>150</v>
      </c>
      <c r="D7" s="20">
        <f>SUMIFS(HicRawData[Beds HH w/ only Children],
HicRawData[Project Type],$I$2,
HicRawData[Inventory Type],"C",
HicRawData[HMIS Participating],$I7)</f>
        <v>12</v>
      </c>
      <c r="E7" s="20">
        <f>SUM(ES_HmisParticipation[[#This Row],[Households without Children]:[Households with only Children]])</f>
        <v>455</v>
      </c>
      <c r="I7" s="33" t="s">
        <v>9</v>
      </c>
    </row>
    <row r="8" spans="1:9" ht="17.100000000000001" customHeight="1" x14ac:dyDescent="0.3">
      <c r="A8" s="10" t="s">
        <v>108</v>
      </c>
      <c r="B8" s="20">
        <f>SUMIFS(HicRawData[Beds HH w/o Children],
HicRawData[Project Type],$I$2,
HicRawData[Inventory Type],"C",
HicRawData[HMIS Participating],$I8)</f>
        <v>0</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SUM(ES_HmisParticipation[[#This Row],[Households without Children]:[Households with only Children]])</f>
        <v>0</v>
      </c>
      <c r="I8" s="33" t="s">
        <v>12</v>
      </c>
    </row>
    <row r="9" spans="1:9" ht="17.100000000000001" customHeight="1" x14ac:dyDescent="0.3">
      <c r="A9" s="10" t="s">
        <v>130</v>
      </c>
      <c r="B9" s="20">
        <f>SUMIFS(HicRawData[Beds HH w/o Children],
HicRawData[Project Type],$I$2,
HicRawData[Inventory Type],"C",
HicRawData[HMIS Participating],$I9)</f>
        <v>11</v>
      </c>
      <c r="C9" s="20">
        <f>SUMIFS(HicRawData[Beds HH w/ Children],
HicRawData[Project Type],$I$2,
HicRawData[Inventory Type],"C",
HicRawData[HMIS Participating],$I9)</f>
        <v>9</v>
      </c>
      <c r="D9" s="20">
        <f>SUMIFS(HicRawData[Beds HH w/ only Children],
HicRawData[Project Type],$I$2,
HicRawData[Inventory Type],"C",
HicRawData[HMIS Participating],$I9)</f>
        <v>0</v>
      </c>
      <c r="E9" s="20">
        <f>SUM(ES_HmisParticipation[[#This Row],[Households without Children]:[Households with only Children]])</f>
        <v>20</v>
      </c>
      <c r="I9" s="33" t="s">
        <v>115</v>
      </c>
    </row>
    <row r="10" spans="1:9" ht="17.100000000000001" customHeight="1" x14ac:dyDescent="0.3">
      <c r="A10" s="2" t="s">
        <v>100</v>
      </c>
      <c r="B10" s="20">
        <f>SUBTOTAL(109,ES_HmisParticipation[Households without Children])</f>
        <v>304</v>
      </c>
      <c r="C10" s="20">
        <f>SUBTOTAL(109,ES_HmisParticipation[Households with Children])</f>
        <v>159</v>
      </c>
      <c r="D10" s="20">
        <f>SUBTOTAL(109,ES_HmisParticipation[Households with only Children])</f>
        <v>12</v>
      </c>
      <c r="E10" s="20">
        <f>SUBTOTAL(109,ES_HmisParticipation[Total Year-Round Beds])</f>
        <v>475</v>
      </c>
    </row>
    <row r="11" spans="1:9" ht="15" customHeight="1" x14ac:dyDescent="0.3">
      <c r="A11" s="4" t="s">
        <v>101</v>
      </c>
      <c r="B11" s="21">
        <f>IF(B7=0,"N/A",B7/ES_HmisParticipation[[#Totals],[Households without Children]])</f>
        <v>0.96381578947368418</v>
      </c>
      <c r="C11" s="21">
        <f>IF(C7=0,"N/A",C7/ES_HmisParticipation[[#Totals],[Households with Children]])</f>
        <v>0.94339622641509435</v>
      </c>
      <c r="D11" s="21">
        <f>IF(D7=0,"N/A",D7/ES_HmisParticipation[[#Totals],[Households with only Children]])</f>
        <v>1</v>
      </c>
      <c r="E11" s="21">
        <f>IF(E7=0,"N/A",E7/ES_HmisParticipation[[#Totals],[Total Year-Round Beds]])</f>
        <v>0.95789473684210524</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293</v>
      </c>
      <c r="C14" s="20">
        <f>SUMIFS(HicRawData[Beds HH w/ Children],
HicRawData[Project Type],$I$2,
HicRawData[Inventory Type],"C",
HicRawData[HMIS Participating],$I14,
HicRawData[Victim Service Provider],0)</f>
        <v>150</v>
      </c>
      <c r="D14" s="20">
        <f>SUMIFS(HicRawData[Beds HH w/ only Children],
HicRawData[Project Type],$I$2,
HicRawData[Inventory Type],"C",
HicRawData[HMIS Participating],$I14,
HicRawData[Victim Service Provider],0)</f>
        <v>12</v>
      </c>
      <c r="E14" s="20">
        <f>SUM(ES_NonVspHmisParticipation[[#This Row],[Households without Children]:[Households with only Children]])</f>
        <v>455</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0</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SUM(ES_NonVspHmisParticipation[[#This Row],[Households without Children]:[Households with only Children]])</f>
        <v>0</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SUM(ES_NonVspHmisParticipation[[#This Row],[Households without Children]:[Households with only Children]])</f>
        <v>0</v>
      </c>
      <c r="I16" s="33" t="s">
        <v>115</v>
      </c>
    </row>
    <row r="17" spans="1:9" ht="17.100000000000001" customHeight="1" x14ac:dyDescent="0.3">
      <c r="A17" s="10" t="s">
        <v>100</v>
      </c>
      <c r="B17" s="22">
        <f>SUBTOTAL(109,ES_NonVspHmisParticipation[Households without Children])</f>
        <v>293</v>
      </c>
      <c r="C17" s="22">
        <f>SUBTOTAL(109,ES_NonVspHmisParticipation[Households with Children])</f>
        <v>150</v>
      </c>
      <c r="D17" s="22">
        <f>SUBTOTAL(109,ES_NonVspHmisParticipation[Households with only Children])</f>
        <v>12</v>
      </c>
      <c r="E17" s="22">
        <f>SUBTOTAL(109,ES_NonVspHmisParticipation[Total Year-Round Beds])</f>
        <v>455</v>
      </c>
    </row>
    <row r="18" spans="1:9" ht="15" customHeight="1" x14ac:dyDescent="0.3">
      <c r="A18" s="4" t="s">
        <v>128</v>
      </c>
      <c r="B18" s="21">
        <f>IF(B14=0,"N/A",B14/ES_NonVspHmisParticipation[[#Totals],[Households without Children]])</f>
        <v>1</v>
      </c>
      <c r="C18" s="21">
        <f>IF(C14=0,"N/A",C14/ES_NonVspHmisParticipation[[#Totals],[Households with Children]])</f>
        <v>1</v>
      </c>
      <c r="D18" s="21">
        <f>IF(D14=0,"N/A",D14/ES_NonVspHmisParticipation[[#Totals],[Households with only Children]])</f>
        <v>1</v>
      </c>
      <c r="E18" s="21">
        <f>IF(E14=0,"N/A",E14/ES_NonVspHmisParticipation[[#Totals],[Total Year-Round Beds]])</f>
        <v>1</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Population],ES_TargetPopulation[[#This Row],[Beds by Target Population]])</f>
        <v>11</v>
      </c>
      <c r="C21" s="24">
        <f>SUMIFS(HicRawData[Beds HH w/ Children],
HicRawData[Project Type],$I$2,
HicRawData[Inventory Type],"C",
HicRawData[Target Population],ES_TargetPopulation[[#This Row],[Beds by Target Population]])</f>
        <v>9</v>
      </c>
      <c r="D21" s="24">
        <f>SUMIFS(HicRawData[Beds HH w/ only Children],
HicRawData[Project Type],$I$2,
HicRawData[Inventory Type],"C",
HicRawData[Target Population],ES_TargetPopulation[[#This Row],[Beds by Target Population]])</f>
        <v>0</v>
      </c>
      <c r="E21" s="24">
        <f>SUM(ES_TargetPopulation[[#This Row],[Households without Children]:[Households with only Children]])</f>
        <v>20</v>
      </c>
    </row>
    <row r="22" spans="1:9" ht="17.100000000000001" customHeight="1" x14ac:dyDescent="0.3">
      <c r="A22" s="2" t="s">
        <v>10</v>
      </c>
      <c r="B22" s="24">
        <f>SUMIFS(HicRawData[Beds HH w/o Children],
HicRawData[Project Type],$I$2,
HicRawData[Inventory Type],"C",
HicRawData[Target Population],ES_TargetPopulation[[#This Row],[Beds by Target Population]])</f>
        <v>0</v>
      </c>
      <c r="C22" s="24">
        <f>SUMIFS(HicRawData[Beds HH w/ Children],
HicRawData[Project Type],$I$2,
HicRawData[Inventory Type],"C",
HicRawData[Target Population],ES_TargetPopulation[[#This Row],[Beds by Target Population]])</f>
        <v>0</v>
      </c>
      <c r="D22" s="24">
        <f>SUMIFS(HicRawData[Beds HH w/ only Children],
HicRawData[Project Type],$I$2,
HicRawData[Inventory Type],"C",
HicRawData[Target Population],ES_TargetPopulation[[#This Row],[Beds by Target Population]])</f>
        <v>0</v>
      </c>
      <c r="E22" s="24">
        <f>SUM(ES_TargetPopulation[[#This Row],[Households without Children]:[Households with only Children]])</f>
        <v>0</v>
      </c>
    </row>
    <row r="23" spans="1:9" ht="17.100000000000001" customHeight="1" x14ac:dyDescent="0.3">
      <c r="A23" s="2" t="s">
        <v>0</v>
      </c>
      <c r="B23" s="24">
        <f>SUMIFS(HicRawData[Beds HH w/o Children],
HicRawData[Project Type],$I$2,
HicRawData[Inventory Type],"C",
HicRawData[Target Population],ES_TargetPopulation[[#This Row],[Beds by Target Population]])</f>
        <v>293</v>
      </c>
      <c r="C23" s="24">
        <f>SUMIFS(HicRawData[Beds HH w/ Children],
HicRawData[Project Type],$I$2,
HicRawData[Inventory Type],"C",
HicRawData[Target Population],ES_TargetPopulation[[#This Row],[Beds by Target Population]])</f>
        <v>150</v>
      </c>
      <c r="D23" s="24">
        <f>SUMIFS(HicRawData[Beds HH w/ only Children],
HicRawData[Project Type],$I$2,
HicRawData[Inventory Type],"C",
HicRawData[Target Population],ES_TargetPopulation[[#This Row],[Beds by Target Population]])</f>
        <v>12</v>
      </c>
      <c r="E23" s="24">
        <f>SUM(ES_TargetPopulation[[#This Row],[Households without Children]:[Households with only Children]])</f>
        <v>455</v>
      </c>
    </row>
    <row r="24" spans="1:9" ht="15" customHeight="1" x14ac:dyDescent="0.3">
      <c r="A24" s="2" t="s">
        <v>100</v>
      </c>
      <c r="B24" s="25">
        <f>SUBTOTAL(109,ES_TargetPopulation[Households without Children])</f>
        <v>304</v>
      </c>
      <c r="C24" s="25">
        <f>SUBTOTAL(109,ES_TargetPopulation[Households with Children])</f>
        <v>159</v>
      </c>
      <c r="D24" s="25">
        <f>SUBTOTAL(109,ES_TargetPopulation[Households with only Children])</f>
        <v>12</v>
      </c>
      <c r="E24" s="25">
        <f>SUBTOTAL(109,ES_TargetPopulation[Total Year-Round Beds])</f>
        <v>475</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304</v>
      </c>
      <c r="C27" s="24">
        <f>SUMIFS(HicRawData[Beds HH w/ Children],
HicRawData[Project Type],$I$2,
HicRawData[Inventory Type],$I27)</f>
        <v>159</v>
      </c>
      <c r="D27" s="24">
        <f>SUMIFS(HicRawData[Beds HH w/ only Children],
HicRawData[Project Type],$I$2,
HicRawData[Inventory Type],$I27)</f>
        <v>12</v>
      </c>
      <c r="E27" s="24">
        <f>SUM(ES_InventoryType[[#This Row],[Households without Children]:[Households with only Children]])</f>
        <v>475</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SUM(ES_InventoryType[[#This Row],[Households without Children]:[Households with only Children]])</f>
        <v>0</v>
      </c>
      <c r="I28" s="33" t="s">
        <v>6</v>
      </c>
    </row>
    <row r="29" spans="1:9" ht="15" customHeight="1" x14ac:dyDescent="0.3">
      <c r="A29" s="2" t="s">
        <v>100</v>
      </c>
      <c r="B29" s="25">
        <f>SUBTOTAL(109,ES_InventoryType[Households without Children])</f>
        <v>304</v>
      </c>
      <c r="C29" s="25">
        <f>SUBTOTAL(109,ES_InventoryType[Households with Children])</f>
        <v>159</v>
      </c>
      <c r="D29" s="25">
        <f>SUBTOTAL(109,ES_InventoryType[Households with only Children])</f>
        <v>12</v>
      </c>
      <c r="E29" s="25">
        <f>SUBTOTAL(109,ES_InventoryType[Total Year-Round Beds])</f>
        <v>475</v>
      </c>
    </row>
    <row r="30" spans="1:9" ht="15" customHeight="1" x14ac:dyDescent="0.3">
      <c r="B30" s="25"/>
      <c r="C30" s="25"/>
      <c r="D30" s="25"/>
      <c r="E30" s="25"/>
    </row>
    <row r="31" spans="1:9" ht="72" customHeight="1" x14ac:dyDescent="0.3">
      <c r="A31" s="18" t="s">
        <v>110</v>
      </c>
      <c r="B31" s="28" t="s">
        <v>109</v>
      </c>
      <c r="C31" s="28" t="s">
        <v>126</v>
      </c>
      <c r="D31" s="28"/>
      <c r="E31" s="25"/>
      <c r="I31" s="33" t="s">
        <v>84</v>
      </c>
    </row>
    <row r="32" spans="1:9" ht="15" customHeight="1" x14ac:dyDescent="0.3">
      <c r="A32" s="2" t="s">
        <v>107</v>
      </c>
      <c r="B32" s="20">
        <f>SUMIFS(HicRawData[Total Seasonal Beds],
HicRawData[Project Type],$I$2,
HicRawData[Inventory Type],"C",
HicRawData[HMIS Participating],$I32)</f>
        <v>0</v>
      </c>
      <c r="C32" s="24">
        <f>SUMIFS(HicRawData[O/V Beds],
HicRawData[Project Type],$I$2,
HicRawData[Inventory Type],"C",
HicRawData[HMIS Participating],$I32)</f>
        <v>86</v>
      </c>
      <c r="D32" s="27"/>
      <c r="E32" s="25"/>
      <c r="I32" s="33" t="s">
        <v>9</v>
      </c>
    </row>
    <row r="33" spans="1:12" ht="15" customHeight="1" x14ac:dyDescent="0.3">
      <c r="A33" s="2" t="s">
        <v>108</v>
      </c>
      <c r="B33" s="20">
        <f>SUMIFS(HicRawData[Total Seasonal Beds],
HicRawData[Project Type],$I$2,
HicRawData[Inventory Type],"C",
HicRawData[HMIS Participating],$I33)</f>
        <v>0</v>
      </c>
      <c r="C33" s="24">
        <f>SUMIFS(HicRawData[O/V Beds],
HicRawData[Project Type],$I$2,
HicRawData[Inventory Type],"C",
HicRawData[HMIS Participating],$I33)</f>
        <v>0</v>
      </c>
      <c r="D33" s="27"/>
      <c r="E33" s="25"/>
      <c r="F33" s="25"/>
      <c r="I33" s="33" t="s">
        <v>12</v>
      </c>
      <c r="J33" s="3"/>
    </row>
    <row r="34" spans="1:12" ht="15" customHeight="1" x14ac:dyDescent="0.3">
      <c r="A34" s="2" t="s">
        <v>130</v>
      </c>
      <c r="B34" s="20">
        <f>SUMIFS(HicRawData[Total Seasonal Beds],
HicRawData[Project Type],$I$2,
HicRawData[Inventory Type],"C",
HicRawData[HMIS Participating],$I34)</f>
        <v>0</v>
      </c>
      <c r="C34" s="24">
        <f>SUMIFS(HicRawData[O/V Beds],
HicRawData[Project Type],$I$2,
HicRawData[Inventory Type],"C",
HicRawData[HMIS Participating],$I34)</f>
        <v>0</v>
      </c>
      <c r="D34" s="27"/>
      <c r="E34" s="25"/>
      <c r="F34" s="25"/>
      <c r="I34" s="33" t="s">
        <v>115</v>
      </c>
      <c r="J34" s="3"/>
    </row>
    <row r="35" spans="1:12" ht="15" customHeight="1" x14ac:dyDescent="0.3">
      <c r="A35" s="2" t="s">
        <v>100</v>
      </c>
      <c r="B35" s="22">
        <f>SUBTOTAL(109,ES_SeasonalOverflow[Total Seasonal Beds (Regardless of Availability)])</f>
        <v>0</v>
      </c>
      <c r="C35" s="24">
        <f>SUBTOTAL(109,ES_SeasonalOverflow[Total Overflow Beds])</f>
        <v>86</v>
      </c>
      <c r="D35" s="25"/>
      <c r="E35" s="2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ES_ProjectType[[#This Row],[All Beds by Project Type]])</f>
        <v>304</v>
      </c>
      <c r="C38" s="24">
        <f>SUMIFS(HicRawData[Beds HH w/ Children],
HicRawData[Project Type],$I$2,
HicRawData[Inventory Type],"C",
HicRawData[Project Type], ES_ProjectType[[#This Row],[All Beds by Project Type]])</f>
        <v>159</v>
      </c>
      <c r="D38" s="24">
        <f>SUMIFS(HicRawData[Beds HH w/ only Children],
HicRawData[Project Type],$I$2,
HicRawData[Inventory Type],"C",
HicRawData[Project Type], ES_ProjectType[[#This Row],[All Beds by Project Type]])</f>
        <v>12</v>
      </c>
      <c r="E38" s="24">
        <f>SUM(ES_ProjectType[[#This Row],[Households without Children]:[Households with only Children]])</f>
        <v>475</v>
      </c>
    </row>
    <row r="39" spans="1:12" ht="17.100000000000001" customHeight="1" x14ac:dyDescent="0.3">
      <c r="A39" s="2" t="s">
        <v>2</v>
      </c>
      <c r="B39" s="24">
        <f>SUMIFS(HicRawData[Beds HH w/o Children],
HicRawData[Project Type],$I$2,
HicRawData[Inventory Type],"C",
HicRawData[Project Type], ES_ProjectType[[#This Row],[All Beds by Project Type]])</f>
        <v>0</v>
      </c>
      <c r="C39" s="24">
        <f>SUMIFS(HicRawData[Beds HH w/ Children],
HicRawData[Project Type],$I$2,
HicRawData[Inventory Type],"C",
HicRawData[Project Type], ES_ProjectType[[#This Row],[All Beds by Project Type]])</f>
        <v>0</v>
      </c>
      <c r="D39" s="24">
        <f>SUMIFS(HicRawData[Beds HH w/ only Children],
HicRawData[Project Type],$I$2,
HicRawData[Inventory Type],"C",
HicRawData[Project Type], ES_ProjectType[[#This Row],[All Beds by Project Type]])</f>
        <v>0</v>
      </c>
      <c r="E39" s="24">
        <f>SUM(ES_ProjectType[[#This Row],[Households without Children]:[Households with only Children]])</f>
        <v>0</v>
      </c>
      <c r="H39" s="6"/>
    </row>
    <row r="40" spans="1:12" ht="17.100000000000001" customHeight="1" x14ac:dyDescent="0.3">
      <c r="A40" s="2" t="s">
        <v>11</v>
      </c>
      <c r="B40" s="24">
        <f>SUMIFS(HicRawData[Beds HH w/o Children],
HicRawData[Project Type],$I$2,
HicRawData[Inventory Type],"C",
HicRawData[Project Type], ES_ProjectType[[#This Row],[All Beds by Project Type]])</f>
        <v>0</v>
      </c>
      <c r="C40" s="24">
        <f>SUMIFS(HicRawData[Beds HH w/ Children],
HicRawData[Project Type],$I$2,
HicRawData[Inventory Type],"C",
HicRawData[Project Type], ES_ProjectType[[#This Row],[All Beds by Project Type]])</f>
        <v>0</v>
      </c>
      <c r="D40" s="24">
        <f>SUMIFS(HicRawData[Beds HH w/ only Children],
HicRawData[Project Type],$I$2,
HicRawData[Inventory Type],"C",
HicRawData[Project Type], ES_ProjectType[[#This Row],[All Beds by Project Type]])</f>
        <v>0</v>
      </c>
      <c r="E40" s="24">
        <f>SUM(ES_ProjectType[[#This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ES_ProjectType[[#This Row],[All Beds by Project Type]])</f>
        <v>0</v>
      </c>
      <c r="C41" s="24">
        <f>SUMIFS(HicRawData[Beds HH w/ Children],
HicRawData[Project Type],$I$2,
HicRawData[Inventory Type],"C",
HicRawData[Project Type], ES_ProjectType[[#This Row],[All Beds by Project Type]])</f>
        <v>0</v>
      </c>
      <c r="D41" s="24">
        <f>SUMIFS(HicRawData[Beds HH w/ only Children],
HicRawData[Project Type],$I$2,
HicRawData[Inventory Type],"C",
HicRawData[Project Type], ES_ProjectType[[#This Row],[All Beds by Project Type]])</f>
        <v>0</v>
      </c>
      <c r="E41" s="24">
        <f>SUM(ES_ProjectType[[#This Row],[Households without Children]:[Households with only Children]])</f>
        <v>0</v>
      </c>
    </row>
    <row r="42" spans="1:12" ht="17.100000000000001" customHeight="1" x14ac:dyDescent="0.3">
      <c r="A42" s="2" t="s">
        <v>5</v>
      </c>
      <c r="B42" s="24">
        <f>SUMIFS(HicRawData[Beds HH w/o Children],
HicRawData[Project Type],$I$2,
HicRawData[Inventory Type],"C",
HicRawData[Project Type], ES_ProjectType[[#This Row],[All Beds by Project Type]])</f>
        <v>0</v>
      </c>
      <c r="C42" s="24">
        <f>SUMIFS(HicRawData[Beds HH w/ Children],
HicRawData[Project Type],$I$2,
HicRawData[Inventory Type],"C",
HicRawData[Project Type], ES_ProjectType[[#This Row],[All Beds by Project Type]])</f>
        <v>0</v>
      </c>
      <c r="D42" s="24">
        <f>SUMIFS(HicRawData[Beds HH w/ only Children],
HicRawData[Project Type],$I$2,
HicRawData[Inventory Type],"C",
HicRawData[Project Type], ES_ProjectType[[#This Row],[All Beds by Project Type]])</f>
        <v>0</v>
      </c>
      <c r="E42" s="24">
        <f>SUM(ES_ProjectType[[#This Row],[Households without Children]:[Households with only Children]])</f>
        <v>0</v>
      </c>
    </row>
    <row r="43" spans="1:12" ht="17.100000000000001" customHeight="1" x14ac:dyDescent="0.3">
      <c r="A43" s="2" t="s">
        <v>7</v>
      </c>
      <c r="B43" s="24">
        <f>SUMIFS(HicRawData[Beds HH w/o Children],
HicRawData[Project Type],$I$2,
HicRawData[Inventory Type],"C",
HicRawData[Project Type], ES_ProjectType[[#This Row],[All Beds by Project Type]])</f>
        <v>0</v>
      </c>
      <c r="C43" s="24">
        <f>SUMIFS(HicRawData[Beds HH w/ Children],
HicRawData[Project Type],$I$2,
HicRawData[Inventory Type],"C",
HicRawData[Project Type], ES_ProjectType[[#This Row],[All Beds by Project Type]])</f>
        <v>0</v>
      </c>
      <c r="D43" s="24">
        <f>SUMIFS(HicRawData[Beds HH w/ only Children],
HicRawData[Project Type],$I$2,
HicRawData[Inventory Type],"C",
HicRawData[Project Type], ES_ProjectType[[#This Row],[All Beds by Project Type]])</f>
        <v>0</v>
      </c>
      <c r="E43" s="24">
        <f>SUM(ES_ProjectType[[#This Row],[Households without Children]:[Households with only Children]])</f>
        <v>0</v>
      </c>
    </row>
    <row r="44" spans="1:12" ht="15" customHeight="1" x14ac:dyDescent="0.3">
      <c r="A44" s="2" t="s">
        <v>100</v>
      </c>
      <c r="B44" s="25">
        <f>SUBTOTAL(109,ES_ProjectType[Households without Children])</f>
        <v>304</v>
      </c>
      <c r="C44" s="25">
        <f>SUBTOTAL(109,ES_ProjectType[Households with Children])</f>
        <v>159</v>
      </c>
      <c r="D44" s="25">
        <f>SUBTOTAL(109,ES_ProjectType[Households with only Children])</f>
        <v>12</v>
      </c>
      <c r="E44" s="25">
        <f>SUBTOTAL(109,ES_ProjectType[Total Year-Round Beds])</f>
        <v>475</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ES_ProjectTypeHmisParticipation[[#This Row],[HMIS Beds by Project Type]],
HicRawData[HMIS Participating], "Yes")</f>
        <v>293</v>
      </c>
      <c r="C47" s="24">
        <f>SUMIFS(HicRawData[Beds HH w/ Children],
HicRawData[Project Type],$I$2,
HicRawData[Inventory Type],"C",
HicRawData[Project Type], ES_ProjectTypeHmisParticipation[[#This Row],[HMIS Beds by Project Type]],
HicRawData[HMIS Participating], "Yes")</f>
        <v>150</v>
      </c>
      <c r="D47" s="24">
        <f>SUMIFS(HicRawData[Beds HH w/ only Children],
HicRawData[Project Type],$I$2,
HicRawData[Inventory Type],"C",
HicRawData[Project Type], ES_ProjectTypeHmisParticipation[[#This Row],[HMIS Beds by Project Type]],
HicRawData[HMIS Participating], "Yes")</f>
        <v>12</v>
      </c>
      <c r="E47" s="23">
        <f>B47+C47+D47</f>
        <v>455</v>
      </c>
    </row>
    <row r="48" spans="1:12" ht="17.100000000000001" customHeight="1" x14ac:dyDescent="0.3">
      <c r="A48" s="2" t="s">
        <v>2</v>
      </c>
      <c r="B48" s="23">
        <f>SUMIFS(HicRawData[Beds HH w/o Children],
HicRawData[Project Type],$I$2,
HicRawData[Inventory Type],"C",
HicRawData[Project Type], ES_ProjectTypeHmisParticipation[[#This Row],[HMIS Beds by Project Type]],
HicRawData[HMIS Participating], "Yes")</f>
        <v>0</v>
      </c>
      <c r="C48" s="23">
        <f>SUMIFS(HicRawData[Beds HH w/ Children],
HicRawData[Project Type],$I$2,
HicRawData[Inventory Type],"C",
HicRawData[Project Type], ES_ProjectTypeHmisParticipation[[#This Row],[HMIS Beds by Project Type]],
HicRawData[HMIS Participating], "Yes")</f>
        <v>0</v>
      </c>
      <c r="D48" s="23">
        <f>SUMIFS(HicRawData[Beds HH w/ only Children],
HicRawData[Project Type],$I$2,
HicRawData[Inventory Type],"C",
HicRawData[Project Type], ES_ProjectTypeHmisParticipation[[#This Row],[HMIS Beds by Project Type]],
HicRawData[HMIS Participating], "Yes")</f>
        <v>0</v>
      </c>
      <c r="E48" s="23">
        <f t="shared" ref="E48:E52" si="0">B48+C48+D48</f>
        <v>0</v>
      </c>
    </row>
    <row r="49" spans="1:5" ht="17.100000000000001" customHeight="1" x14ac:dyDescent="0.3">
      <c r="A49" s="2" t="s">
        <v>11</v>
      </c>
      <c r="B49" s="23">
        <f>SUMIFS(HicRawData[Beds HH w/o Children],
HicRawData[Project Type],$I$2,
HicRawData[Inventory Type],"C",
HicRawData[Project Type], ES_ProjectTypeHmisParticipation[[#This Row],[HMIS Beds by Project Type]],
HicRawData[HMIS Participating], "Yes")</f>
        <v>0</v>
      </c>
      <c r="C49" s="23">
        <f>SUMIFS(HicRawData[Beds HH w/ Children],
HicRawData[Project Type],$I$2,
HicRawData[Inventory Type],"C",
HicRawData[Project Type], ES_ProjectTypeHmisParticipation[[#This Row],[HMIS Beds by Project Type]],
HicRawData[HMIS Participating], "Yes")</f>
        <v>0</v>
      </c>
      <c r="D49" s="23">
        <f>SUMIFS(HicRawData[Beds HH w/ only Children],
HicRawData[Project Type],$I$2,
HicRawData[Inventory Type],"C",
HicRawData[Project Type], ES_ProjectTypeHmisParticipation[[#This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ES_ProjectTypeHmisParticipation[[#This Row],[HMIS Beds by Project Type]],
HicRawData[HMIS Participating], "Yes")</f>
        <v>0</v>
      </c>
      <c r="C50" s="23">
        <f>SUMIFS(HicRawData[Beds HH w/ Children],
HicRawData[Project Type],$I$2,
HicRawData[Inventory Type],"C",
HicRawData[Project Type], ES_ProjectTypeHmisParticipation[[#This Row],[HMIS Beds by Project Type]],
HicRawData[HMIS Participating], "Yes")</f>
        <v>0</v>
      </c>
      <c r="D50" s="23">
        <f>SUMIFS(HicRawData[Beds HH w/ only Children],
HicRawData[Project Type],$I$2,
HicRawData[Inventory Type],"C",
HicRawData[Project Type], ES_ProjectTypeHmisParticipation[[#This Row],[HMIS Beds by Project Type]],
HicRawData[HMIS Participating], "Yes")</f>
        <v>0</v>
      </c>
      <c r="E50" s="23">
        <f t="shared" si="0"/>
        <v>0</v>
      </c>
    </row>
    <row r="51" spans="1:5" ht="17.100000000000001" customHeight="1" x14ac:dyDescent="0.3">
      <c r="A51" s="2" t="s">
        <v>5</v>
      </c>
      <c r="B51" s="23">
        <f>SUMIFS(HicRawData[Beds HH w/o Children],
HicRawData[Project Type],$I$2,
HicRawData[Inventory Type],"C",
HicRawData[Project Type], ES_ProjectTypeHmisParticipation[[#This Row],[HMIS Beds by Project Type]],
HicRawData[HMIS Participating], "Yes")</f>
        <v>0</v>
      </c>
      <c r="C51" s="23">
        <f>SUMIFS(HicRawData[Beds HH w/ Children],
HicRawData[Project Type],$I$2,
HicRawData[Inventory Type],"C",
HicRawData[Project Type], ES_ProjectTypeHmisParticipation[[#This Row],[HMIS Beds by Project Type]],
HicRawData[HMIS Participating], "Yes")</f>
        <v>0</v>
      </c>
      <c r="D51" s="23">
        <f>SUMIFS(HicRawData[Beds HH w/ only Children],
HicRawData[Project Type],$I$2,
HicRawData[Inventory Type],"C",
HicRawData[Project Type], ES_ProjectTypeHmisParticipation[[#This Row],[HMIS Beds by Project Type]],
HicRawData[HMIS Participating], "Yes")</f>
        <v>0</v>
      </c>
      <c r="E51" s="23">
        <f t="shared" si="0"/>
        <v>0</v>
      </c>
    </row>
    <row r="52" spans="1:5" ht="17.100000000000001" customHeight="1" x14ac:dyDescent="0.3">
      <c r="A52" s="2" t="s">
        <v>7</v>
      </c>
      <c r="B52" s="23">
        <f>SUMIFS(HicRawData[Beds HH w/o Children],
HicRawData[Project Type],$I$2,
HicRawData[Inventory Type],"C",
HicRawData[Project Type], ES_ProjectTypeHmisParticipation[[#This Row],[HMIS Beds by Project Type]],
HicRawData[HMIS Participating], "Yes")</f>
        <v>0</v>
      </c>
      <c r="C52" s="23">
        <f>SUMIFS(HicRawData[Beds HH w/ Children],
HicRawData[Project Type],$I$2,
HicRawData[Inventory Type],"C",
HicRawData[Project Type], ES_ProjectTypeHmisParticipation[[#This Row],[HMIS Beds by Project Type]],
HicRawData[HMIS Participating], "Yes")</f>
        <v>0</v>
      </c>
      <c r="D52" s="23">
        <f>SUMIFS(HicRawData[Beds HH w/ only Children],
HicRawData[Project Type],$I$2,
HicRawData[Inventory Type],"C",
HicRawData[Project Type], ES_ProjectTypeHmisParticipation[[#This Row],[HMIS Beds by Project Type]],
HicRawData[HMIS Participating], "Yes")</f>
        <v>0</v>
      </c>
      <c r="E52" s="23">
        <f t="shared" si="0"/>
        <v>0</v>
      </c>
    </row>
    <row r="53" spans="1:5" x14ac:dyDescent="0.3">
      <c r="A53" s="2" t="s">
        <v>100</v>
      </c>
      <c r="B53" s="26">
        <f>SUBTOTAL(109,ES_ProjectTypeHmisParticipation[Households without Children])</f>
        <v>293</v>
      </c>
      <c r="C53" s="26">
        <f>SUBTOTAL(109,ES_ProjectTypeHmisParticipation[Households with Children])</f>
        <v>150</v>
      </c>
      <c r="D53" s="26">
        <f>SUBTOTAL(109,ES_ProjectTypeHmisParticipation[Households with only Children])</f>
        <v>12</v>
      </c>
      <c r="E53" s="23">
        <f>SUBTOTAL(109,ES_ProjectTypeHmisParticipation[Total Year-Round Beds])</f>
        <v>455</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pgBIO8rW4EOG05gh81oJQPQ37NbZj8yw61pdU6BHS5P/mwp+vOcOYcfMm+ycCD4SD8mBMaZ7SGSap5cROE+9Iw==" saltValue="C18zWJMAC9ax+jOXM5cG/Q==" spinCount="100000" sheet="1" objects="1" scenarios="1"/>
  <conditionalFormatting sqref="A4:G4">
    <cfRule type="expression" dxfId="19"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7">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5939-C6BC-444D-8D31-300EF8C50788}">
  <sheetPr codeName="Sheet3"/>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TH Beds Summary</v>
      </c>
      <c r="B2" s="30"/>
      <c r="C2" s="30"/>
      <c r="D2" s="30"/>
      <c r="E2" s="30"/>
      <c r="F2" s="30"/>
      <c r="G2" s="30"/>
      <c r="I2" s="33" t="s">
        <v>2</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67</v>
      </c>
      <c r="C7" s="20">
        <f>SUMIFS(HicRawData[Beds HH w/ Children],
HicRawData[Project Type],$I$2,
HicRawData[Inventory Type],"C",
HicRawData[HMIS Participating],$I7)</f>
        <v>6</v>
      </c>
      <c r="D7" s="20">
        <f>SUMIFS(HicRawData[Beds HH w/ only Children],
HicRawData[Project Type],$I$2,
HicRawData[Inventory Type],"C",
HicRawData[HMIS Participating],$I7)</f>
        <v>2</v>
      </c>
      <c r="E7" s="20">
        <f>SUM(TH_HmisParticipation[[#This Row],[Households without Children]:[Households with only Children]])</f>
        <v>75</v>
      </c>
      <c r="I7" s="33" t="s">
        <v>9</v>
      </c>
    </row>
    <row r="8" spans="1:9" ht="17.100000000000001" customHeight="1" x14ac:dyDescent="0.3">
      <c r="A8" s="10" t="s">
        <v>108</v>
      </c>
      <c r="B8" s="20">
        <f>SUMIFS(HicRawData[Beds HH w/o Children],
HicRawData[Project Type],$I$2,
HicRawData[Inventory Type],"C",
HicRawData[HMIS Participating],$I8)</f>
        <v>0</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SUM(TH_HmisParticipation[[#This Row],[Households without Children]:[Households with only Children]])</f>
        <v>0</v>
      </c>
      <c r="I8" s="33" t="s">
        <v>12</v>
      </c>
    </row>
    <row r="9" spans="1:9" ht="17.100000000000001" customHeight="1" x14ac:dyDescent="0.3">
      <c r="A9" s="10" t="s">
        <v>130</v>
      </c>
      <c r="B9" s="20">
        <f>SUMIFS(HicRawData[Beds HH w/o Children],
HicRawData[Project Type],$I$2,
HicRawData[Inventory Type],"C",
HicRawData[HMIS Participating],$I9)</f>
        <v>4</v>
      </c>
      <c r="C9" s="20">
        <f>SUMIFS(HicRawData[Beds HH w/ Children],
HicRawData[Project Type],$I$2,
HicRawData[Inventory Type],"C",
HicRawData[HMIS Participating],$I9)</f>
        <v>21</v>
      </c>
      <c r="D9" s="20">
        <f>SUMIFS(HicRawData[Beds HH w/ only Children],
HicRawData[Project Type],$I$2,
HicRawData[Inventory Type],"C",
HicRawData[HMIS Participating],$I9)</f>
        <v>0</v>
      </c>
      <c r="E9" s="20">
        <f>SUM(TH_HmisParticipation[[#This Row],[Households without Children]:[Households with only Children]])</f>
        <v>25</v>
      </c>
      <c r="I9" s="33" t="s">
        <v>115</v>
      </c>
    </row>
    <row r="10" spans="1:9" ht="17.100000000000001" customHeight="1" x14ac:dyDescent="0.3">
      <c r="A10" s="2" t="s">
        <v>100</v>
      </c>
      <c r="B10" s="20">
        <f>SUBTOTAL(109,TH_HmisParticipation[Households without Children])</f>
        <v>71</v>
      </c>
      <c r="C10" s="20">
        <f>SUBTOTAL(109,TH_HmisParticipation[Households with Children])</f>
        <v>27</v>
      </c>
      <c r="D10" s="20">
        <f>SUBTOTAL(109,TH_HmisParticipation[Households with only Children])</f>
        <v>2</v>
      </c>
      <c r="E10" s="20">
        <f>SUBTOTAL(109,TH_HmisParticipation[Total Year-Round Beds])</f>
        <v>100</v>
      </c>
    </row>
    <row r="11" spans="1:9" ht="15" customHeight="1" x14ac:dyDescent="0.3">
      <c r="A11" s="4" t="s">
        <v>101</v>
      </c>
      <c r="B11" s="21">
        <f>IF(B7=0,"N/A",B7/TH_HmisParticipation[[#Totals],[Households without Children]])</f>
        <v>0.94366197183098588</v>
      </c>
      <c r="C11" s="21">
        <f>IF(C7=0,"N/A",C7/TH_HmisParticipation[[#Totals],[Households with Children]])</f>
        <v>0.22222222222222221</v>
      </c>
      <c r="D11" s="21">
        <f>IF(D7=0,"N/A",D7/TH_HmisParticipation[[#Totals],[Households with only Children]])</f>
        <v>1</v>
      </c>
      <c r="E11" s="21">
        <f>IF(E7=0,"N/A",E7/TH_HmisParticipation[[#Totals],[Total Year-Round Beds]])</f>
        <v>0.75</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67</v>
      </c>
      <c r="C14" s="20">
        <f>SUMIFS(HicRawData[Beds HH w/ Children],
HicRawData[Project Type],$I$2,
HicRawData[Inventory Type],"C",
HicRawData[HMIS Participating],$I14,
HicRawData[Victim Service Provider],0)</f>
        <v>6</v>
      </c>
      <c r="D14" s="20">
        <f>SUMIFS(HicRawData[Beds HH w/ only Children],
HicRawData[Project Type],$I$2,
HicRawData[Inventory Type],"C",
HicRawData[HMIS Participating],$I14,
HicRawData[Victim Service Provider],0)</f>
        <v>2</v>
      </c>
      <c r="E14" s="20">
        <f>SUM(TH_NonVspHmisParticipation[[#This Row],[Households without Children]:[Households with only Children]])</f>
        <v>75</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0</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SUM(TH_NonVspHmisParticipation[[#This Row],[Households without Children]:[Households with only Children]])</f>
        <v>0</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SUM(TH_NonVspHmisParticipation[[#This Row],[Households without Children]:[Households with only Children]])</f>
        <v>0</v>
      </c>
      <c r="I16" s="33" t="s">
        <v>115</v>
      </c>
    </row>
    <row r="17" spans="1:9" ht="17.100000000000001" customHeight="1" x14ac:dyDescent="0.3">
      <c r="A17" s="10" t="s">
        <v>100</v>
      </c>
      <c r="B17" s="22">
        <f>SUBTOTAL(109,TH_NonVspHmisParticipation[Households without Children])</f>
        <v>67</v>
      </c>
      <c r="C17" s="22">
        <f>SUBTOTAL(109,TH_NonVspHmisParticipation[Households with Children])</f>
        <v>6</v>
      </c>
      <c r="D17" s="22">
        <f>SUBTOTAL(109,TH_NonVspHmisParticipation[Households with only Children])</f>
        <v>2</v>
      </c>
      <c r="E17" s="22">
        <f>SUBTOTAL(109,TH_NonVspHmisParticipation[Total Year-Round Beds])</f>
        <v>75</v>
      </c>
    </row>
    <row r="18" spans="1:9" ht="15" customHeight="1" x14ac:dyDescent="0.3">
      <c r="A18" s="4" t="s">
        <v>128</v>
      </c>
      <c r="B18" s="21">
        <f>IF(B14=0,"N/A",B14/TH_NonVspHmisParticipation[[#Totals],[Households without Children]])</f>
        <v>1</v>
      </c>
      <c r="C18" s="21">
        <f>IF(C14=0,"N/A",C14/TH_NonVspHmisParticipation[[#Totals],[Households with Children]])</f>
        <v>1</v>
      </c>
      <c r="D18" s="21">
        <f>IF(D14=0,"N/A",D14/TH_NonVspHmisParticipation[[#Totals],[Households with only Children]])</f>
        <v>1</v>
      </c>
      <c r="E18" s="21">
        <f>IF(E14=0,"N/A",E14/TH_NonVspHmisParticipation[[#Totals],[Total Year-Round Beds]])</f>
        <v>1</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Population],TH_TargetPopulation[[#This Row],[Beds by Target Population]])</f>
        <v>4</v>
      </c>
      <c r="C21" s="24">
        <f>SUMIFS(HicRawData[Beds HH w/ Children],
HicRawData[Project Type],$I$2,
HicRawData[Inventory Type],"C",
HicRawData[Target Population],TH_TargetPopulation[[#This Row],[Beds by Target Population]])</f>
        <v>21</v>
      </c>
      <c r="D21" s="24">
        <f>SUMIFS(HicRawData[Beds HH w/ only Children],
HicRawData[Project Type],$I$2,
HicRawData[Inventory Type],"C",
HicRawData[Target Population],TH_TargetPopulation[[#This Row],[Beds by Target Population]])</f>
        <v>0</v>
      </c>
      <c r="E21" s="24">
        <f>SUM(TH_TargetPopulation[[#This Row],[Households without Children]:[Households with only Children]])</f>
        <v>25</v>
      </c>
    </row>
    <row r="22" spans="1:9" ht="17.100000000000001" customHeight="1" x14ac:dyDescent="0.3">
      <c r="A22" s="2" t="s">
        <v>10</v>
      </c>
      <c r="B22" s="24">
        <f>SUMIFS(HicRawData[Beds HH w/o Children],
HicRawData[Project Type],$I$2,
HicRawData[Inventory Type],"C",
HicRawData[Target Population],TH_TargetPopulation[[#This Row],[Beds by Target Population]])</f>
        <v>0</v>
      </c>
      <c r="C22" s="24">
        <f>SUMIFS(HicRawData[Beds HH w/ Children],
HicRawData[Project Type],$I$2,
HicRawData[Inventory Type],"C",
HicRawData[Target Population],TH_TargetPopulation[[#This Row],[Beds by Target Population]])</f>
        <v>0</v>
      </c>
      <c r="D22" s="24">
        <f>SUMIFS(HicRawData[Beds HH w/ only Children],
HicRawData[Project Type],$I$2,
HicRawData[Inventory Type],"C",
HicRawData[Target Population],TH_TargetPopulation[[#This Row],[Beds by Target Population]])</f>
        <v>0</v>
      </c>
      <c r="E22" s="24">
        <f>SUM(TH_TargetPopulation[[#This Row],[Households without Children]:[Households with only Children]])</f>
        <v>0</v>
      </c>
    </row>
    <row r="23" spans="1:9" ht="17.100000000000001" customHeight="1" x14ac:dyDescent="0.3">
      <c r="A23" s="2" t="s">
        <v>0</v>
      </c>
      <c r="B23" s="24">
        <f>SUMIFS(HicRawData[Beds HH w/o Children],
HicRawData[Project Type],$I$2,
HicRawData[Inventory Type],"C",
HicRawData[Target Population],TH_TargetPopulation[[#This Row],[Beds by Target Population]])</f>
        <v>67</v>
      </c>
      <c r="C23" s="24">
        <f>SUMIFS(HicRawData[Beds HH w/ Children],
HicRawData[Project Type],$I$2,
HicRawData[Inventory Type],"C",
HicRawData[Target Population],TH_TargetPopulation[[#This Row],[Beds by Target Population]])</f>
        <v>6</v>
      </c>
      <c r="D23" s="24">
        <f>SUMIFS(HicRawData[Beds HH w/ only Children],
HicRawData[Project Type],$I$2,
HicRawData[Inventory Type],"C",
HicRawData[Target Population],TH_TargetPopulation[[#This Row],[Beds by Target Population]])</f>
        <v>2</v>
      </c>
      <c r="E23" s="24">
        <f>SUM(TH_TargetPopulation[[#This Row],[Households without Children]:[Households with only Children]])</f>
        <v>75</v>
      </c>
    </row>
    <row r="24" spans="1:9" ht="15" customHeight="1" x14ac:dyDescent="0.3">
      <c r="A24" s="2" t="s">
        <v>100</v>
      </c>
      <c r="B24" s="25">
        <f>SUBTOTAL(109,TH_TargetPopulation[Households without Children])</f>
        <v>71</v>
      </c>
      <c r="C24" s="25">
        <f>SUBTOTAL(109,TH_TargetPopulation[Households with Children])</f>
        <v>27</v>
      </c>
      <c r="D24" s="25">
        <f>SUBTOTAL(109,TH_TargetPopulation[Households with only Children])</f>
        <v>2</v>
      </c>
      <c r="E24" s="25">
        <f>SUBTOTAL(109,TH_TargetPopulation[Total Year-Round Beds])</f>
        <v>100</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71</v>
      </c>
      <c r="C27" s="24">
        <f>SUMIFS(HicRawData[Beds HH w/ Children],
HicRawData[Project Type],$I$2,
HicRawData[Inventory Type],$I27)</f>
        <v>27</v>
      </c>
      <c r="D27" s="24">
        <f>SUMIFS(HicRawData[Beds HH w/ only Children],
HicRawData[Project Type],$I$2,
HicRawData[Inventory Type],$I27)</f>
        <v>2</v>
      </c>
      <c r="E27" s="24">
        <f>SUM(TH_InventoryType[[#This Row],[Households without Children]:[Households with only Children]])</f>
        <v>100</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SUM(TH_InventoryType[[#This Row],[Households without Children]:[Households with only Children]])</f>
        <v>0</v>
      </c>
      <c r="I28" s="33" t="s">
        <v>6</v>
      </c>
    </row>
    <row r="29" spans="1:9" ht="15" customHeight="1" x14ac:dyDescent="0.3">
      <c r="A29" s="2" t="s">
        <v>100</v>
      </c>
      <c r="B29" s="25">
        <f>SUBTOTAL(109,TH_InventoryType[Households without Children])</f>
        <v>71</v>
      </c>
      <c r="C29" s="25">
        <f>SUBTOTAL(109,TH_InventoryType[Households with Children])</f>
        <v>27</v>
      </c>
      <c r="D29" s="25">
        <f>SUBTOTAL(109,TH_InventoryType[Households with only Children])</f>
        <v>2</v>
      </c>
      <c r="E29" s="25">
        <f>SUBTOTAL(109,TH_InventoryType[Total Year-Round Beds])</f>
        <v>100</v>
      </c>
    </row>
    <row r="30" spans="1:9" ht="15" customHeight="1" x14ac:dyDescent="0.3">
      <c r="B30" s="25"/>
      <c r="C30" s="25"/>
      <c r="D30" s="25"/>
      <c r="E30" s="25"/>
    </row>
    <row r="31" spans="1:9" ht="72" customHeight="1" x14ac:dyDescent="0.3">
      <c r="A31"/>
      <c r="B31"/>
      <c r="C31"/>
      <c r="D31"/>
      <c r="E31"/>
      <c r="I31" s="33" t="s">
        <v>84</v>
      </c>
    </row>
    <row r="32" spans="1:9" ht="15" customHeight="1" x14ac:dyDescent="0.3">
      <c r="A32"/>
      <c r="B32"/>
      <c r="C32"/>
      <c r="D32"/>
      <c r="E32"/>
      <c r="I32" s="33" t="s">
        <v>9</v>
      </c>
    </row>
    <row r="33" spans="1:12" ht="15" customHeight="1" x14ac:dyDescent="0.3">
      <c r="A33"/>
      <c r="B33"/>
      <c r="C33"/>
      <c r="D33"/>
      <c r="E33"/>
      <c r="F33" s="25"/>
      <c r="I33" s="33" t="s">
        <v>12</v>
      </c>
      <c r="J33" s="3"/>
    </row>
    <row r="34" spans="1:12" ht="15" customHeight="1" x14ac:dyDescent="0.3">
      <c r="A34"/>
      <c r="B34"/>
      <c r="C34"/>
      <c r="D34"/>
      <c r="E34"/>
      <c r="F34" s="25"/>
      <c r="I34" s="33" t="s">
        <v>115</v>
      </c>
      <c r="J34" s="3"/>
    </row>
    <row r="35" spans="1:12" ht="15" customHeight="1" x14ac:dyDescent="0.3">
      <c r="A35"/>
      <c r="B35"/>
      <c r="C35"/>
      <c r="D35"/>
      <c r="E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TH_ProjectType[[#This Row],[All Beds by Project Type]])</f>
        <v>0</v>
      </c>
      <c r="C38" s="24">
        <f>SUMIFS(HicRawData[Beds HH w/ Children],
HicRawData[Project Type],$I$2,
HicRawData[Inventory Type],"C",
HicRawData[Project Type], TH_ProjectType[[#This Row],[All Beds by Project Type]])</f>
        <v>0</v>
      </c>
      <c r="D38" s="24">
        <f>SUMIFS(HicRawData[Beds HH w/ only Children],
HicRawData[Project Type],$I$2,
HicRawData[Inventory Type],"C",
HicRawData[Project Type], TH_ProjectType[[#This Row],[All Beds by Project Type]])</f>
        <v>0</v>
      </c>
      <c r="E38" s="24">
        <f>SUM(TH_ProjectType[[#This Row],[Households without Children]:[Households with only Children]])</f>
        <v>0</v>
      </c>
    </row>
    <row r="39" spans="1:12" ht="17.100000000000001" customHeight="1" x14ac:dyDescent="0.3">
      <c r="A39" s="2" t="s">
        <v>2</v>
      </c>
      <c r="B39" s="24">
        <f>SUMIFS(HicRawData[Beds HH w/o Children],
HicRawData[Project Type],$I$2,
HicRawData[Inventory Type],"C",
HicRawData[Project Type], TH_ProjectType[[#This Row],[All Beds by Project Type]])</f>
        <v>71</v>
      </c>
      <c r="C39" s="24">
        <f>SUMIFS(HicRawData[Beds HH w/ Children],
HicRawData[Project Type],$I$2,
HicRawData[Inventory Type],"C",
HicRawData[Project Type], TH_ProjectType[[#This Row],[All Beds by Project Type]])</f>
        <v>27</v>
      </c>
      <c r="D39" s="24">
        <f>SUMIFS(HicRawData[Beds HH w/ only Children],
HicRawData[Project Type],$I$2,
HicRawData[Inventory Type],"C",
HicRawData[Project Type], TH_ProjectType[[#This Row],[All Beds by Project Type]])</f>
        <v>2</v>
      </c>
      <c r="E39" s="24">
        <f>SUM(TH_ProjectType[[#This Row],[Households without Children]:[Households with only Children]])</f>
        <v>100</v>
      </c>
      <c r="H39" s="6"/>
    </row>
    <row r="40" spans="1:12" ht="17.100000000000001" customHeight="1" x14ac:dyDescent="0.3">
      <c r="A40" s="2" t="s">
        <v>11</v>
      </c>
      <c r="B40" s="24">
        <f>SUMIFS(HicRawData[Beds HH w/o Children],
HicRawData[Project Type],$I$2,
HicRawData[Inventory Type],"C",
HicRawData[Project Type], TH_ProjectType[[#This Row],[All Beds by Project Type]])</f>
        <v>0</v>
      </c>
      <c r="C40" s="24">
        <f>SUMIFS(HicRawData[Beds HH w/ Children],
HicRawData[Project Type],$I$2,
HicRawData[Inventory Type],"C",
HicRawData[Project Type], TH_ProjectType[[#This Row],[All Beds by Project Type]])</f>
        <v>0</v>
      </c>
      <c r="D40" s="24">
        <f>SUMIFS(HicRawData[Beds HH w/ only Children],
HicRawData[Project Type],$I$2,
HicRawData[Inventory Type],"C",
HicRawData[Project Type], TH_ProjectType[[#This Row],[All Beds by Project Type]])</f>
        <v>0</v>
      </c>
      <c r="E40" s="24">
        <f>SUM(TH_ProjectType[[#This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TH_ProjectType[[#This Row],[All Beds by Project Type]])</f>
        <v>0</v>
      </c>
      <c r="C41" s="24">
        <f>SUMIFS(HicRawData[Beds HH w/ Children],
HicRawData[Project Type],$I$2,
HicRawData[Inventory Type],"C",
HicRawData[Project Type], TH_ProjectType[[#This Row],[All Beds by Project Type]])</f>
        <v>0</v>
      </c>
      <c r="D41" s="24">
        <f>SUMIFS(HicRawData[Beds HH w/ only Children],
HicRawData[Project Type],$I$2,
HicRawData[Inventory Type],"C",
HicRawData[Project Type], TH_ProjectType[[#This Row],[All Beds by Project Type]])</f>
        <v>0</v>
      </c>
      <c r="E41" s="24">
        <f>SUM(TH_ProjectType[[#This Row],[Households without Children]:[Households with only Children]])</f>
        <v>0</v>
      </c>
    </row>
    <row r="42" spans="1:12" ht="17.100000000000001" customHeight="1" x14ac:dyDescent="0.3">
      <c r="A42" s="2" t="s">
        <v>5</v>
      </c>
      <c r="B42" s="24">
        <f>SUMIFS(HicRawData[Beds HH w/o Children],
HicRawData[Project Type],$I$2,
HicRawData[Inventory Type],"C",
HicRawData[Project Type], TH_ProjectType[[#This Row],[All Beds by Project Type]])</f>
        <v>0</v>
      </c>
      <c r="C42" s="24">
        <f>SUMIFS(HicRawData[Beds HH w/ Children],
HicRawData[Project Type],$I$2,
HicRawData[Inventory Type],"C",
HicRawData[Project Type], TH_ProjectType[[#This Row],[All Beds by Project Type]])</f>
        <v>0</v>
      </c>
      <c r="D42" s="24">
        <f>SUMIFS(HicRawData[Beds HH w/ only Children],
HicRawData[Project Type],$I$2,
HicRawData[Inventory Type],"C",
HicRawData[Project Type], TH_ProjectType[[#This Row],[All Beds by Project Type]])</f>
        <v>0</v>
      </c>
      <c r="E42" s="24">
        <f>SUM(TH_ProjectType[[#This Row],[Households without Children]:[Households with only Children]])</f>
        <v>0</v>
      </c>
    </row>
    <row r="43" spans="1:12" ht="17.100000000000001" customHeight="1" x14ac:dyDescent="0.3">
      <c r="A43" s="2" t="s">
        <v>7</v>
      </c>
      <c r="B43" s="24">
        <f>SUMIFS(HicRawData[Beds HH w/o Children],
HicRawData[Project Type],$I$2,
HicRawData[Inventory Type],"C",
HicRawData[Project Type], TH_ProjectType[[#This Row],[All Beds by Project Type]])</f>
        <v>0</v>
      </c>
      <c r="C43" s="24">
        <f>SUMIFS(HicRawData[Beds HH w/ Children],
HicRawData[Project Type],$I$2,
HicRawData[Inventory Type],"C",
HicRawData[Project Type], TH_ProjectType[[#This Row],[All Beds by Project Type]])</f>
        <v>0</v>
      </c>
      <c r="D43" s="24">
        <f>SUMIFS(HicRawData[Beds HH w/ only Children],
HicRawData[Project Type],$I$2,
HicRawData[Inventory Type],"C",
HicRawData[Project Type], TH_ProjectType[[#This Row],[All Beds by Project Type]])</f>
        <v>0</v>
      </c>
      <c r="E43" s="24">
        <f>SUM(TH_ProjectType[[#This Row],[Households without Children]:[Households with only Children]])</f>
        <v>0</v>
      </c>
    </row>
    <row r="44" spans="1:12" ht="15" customHeight="1" x14ac:dyDescent="0.3">
      <c r="A44" s="2" t="s">
        <v>100</v>
      </c>
      <c r="B44" s="25">
        <f>SUBTOTAL(109,TH_ProjectType[Households without Children])</f>
        <v>71</v>
      </c>
      <c r="C44" s="25">
        <f>SUBTOTAL(109,TH_ProjectType[Households with Children])</f>
        <v>27</v>
      </c>
      <c r="D44" s="25">
        <f>SUBTOTAL(109,TH_ProjectType[Households with only Children])</f>
        <v>2</v>
      </c>
      <c r="E44" s="25">
        <f>SUBTOTAL(109,TH_ProjectType[Total Year-Round Beds])</f>
        <v>100</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TH_ProjectTypeHmisParticipation[[#This Row],[HMIS Beds by Project Type]],
HicRawData[HMIS Participating], "Yes")</f>
        <v>0</v>
      </c>
      <c r="C47" s="24">
        <f>SUMIFS(HicRawData[Beds HH w/ Children],
HicRawData[Project Type],$I$2,
HicRawData[Inventory Type],"C",
HicRawData[Project Type], TH_ProjectTypeHmisParticipation[[#This Row],[HMIS Beds by Project Type]],
HicRawData[HMIS Participating], "Yes")</f>
        <v>0</v>
      </c>
      <c r="D47" s="24">
        <f>SUMIFS(HicRawData[Beds HH w/ only Children],
HicRawData[Project Type],$I$2,
HicRawData[Inventory Type],"C",
HicRawData[Project Type], TH_ProjectTypeHmisParticipation[[#This Row],[HMIS Beds by Project Type]],
HicRawData[HMIS Participating], "Yes")</f>
        <v>0</v>
      </c>
      <c r="E47" s="23">
        <f>B47+C47+D47</f>
        <v>0</v>
      </c>
    </row>
    <row r="48" spans="1:12" ht="17.100000000000001" customHeight="1" x14ac:dyDescent="0.3">
      <c r="A48" s="2" t="s">
        <v>2</v>
      </c>
      <c r="B48" s="23">
        <f>SUMIFS(HicRawData[Beds HH w/o Children],
HicRawData[Project Type],$I$2,
HicRawData[Inventory Type],"C",
HicRawData[Project Type], TH_ProjectTypeHmisParticipation[[#This Row],[HMIS Beds by Project Type]],
HicRawData[HMIS Participating], "Yes")</f>
        <v>67</v>
      </c>
      <c r="C48" s="23">
        <f>SUMIFS(HicRawData[Beds HH w/ Children],
HicRawData[Project Type],$I$2,
HicRawData[Inventory Type],"C",
HicRawData[Project Type], TH_ProjectTypeHmisParticipation[[#This Row],[HMIS Beds by Project Type]],
HicRawData[HMIS Participating], "Yes")</f>
        <v>6</v>
      </c>
      <c r="D48" s="23">
        <f>SUMIFS(HicRawData[Beds HH w/ only Children],
HicRawData[Project Type],$I$2,
HicRawData[Inventory Type],"C",
HicRawData[Project Type], TH_ProjectTypeHmisParticipation[[#This Row],[HMIS Beds by Project Type]],
HicRawData[HMIS Participating], "Yes")</f>
        <v>2</v>
      </c>
      <c r="E48" s="23">
        <f t="shared" ref="E48:E52" si="0">B48+C48+D48</f>
        <v>75</v>
      </c>
    </row>
    <row r="49" spans="1:5" ht="17.100000000000001" customHeight="1" x14ac:dyDescent="0.3">
      <c r="A49" s="2" t="s">
        <v>11</v>
      </c>
      <c r="B49" s="23">
        <f>SUMIFS(HicRawData[Beds HH w/o Children],
HicRawData[Project Type],$I$2,
HicRawData[Inventory Type],"C",
HicRawData[Project Type], TH_ProjectTypeHmisParticipation[[#This Row],[HMIS Beds by Project Type]],
HicRawData[HMIS Participating], "Yes")</f>
        <v>0</v>
      </c>
      <c r="C49" s="23">
        <f>SUMIFS(HicRawData[Beds HH w/ Children],
HicRawData[Project Type],$I$2,
HicRawData[Inventory Type],"C",
HicRawData[Project Type], TH_ProjectTypeHmisParticipation[[#This Row],[HMIS Beds by Project Type]],
HicRawData[HMIS Participating], "Yes")</f>
        <v>0</v>
      </c>
      <c r="D49" s="23">
        <f>SUMIFS(HicRawData[Beds HH w/ only Children],
HicRawData[Project Type],$I$2,
HicRawData[Inventory Type],"C",
HicRawData[Project Type], TH_ProjectTypeHmisParticipation[[#This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TH_ProjectTypeHmisParticipation[[#This Row],[HMIS Beds by Project Type]],
HicRawData[HMIS Participating], "Yes")</f>
        <v>0</v>
      </c>
      <c r="C50" s="23">
        <f>SUMIFS(HicRawData[Beds HH w/ Children],
HicRawData[Project Type],$I$2,
HicRawData[Inventory Type],"C",
HicRawData[Project Type], TH_ProjectTypeHmisParticipation[[#This Row],[HMIS Beds by Project Type]],
HicRawData[HMIS Participating], "Yes")</f>
        <v>0</v>
      </c>
      <c r="D50" s="23">
        <f>SUMIFS(HicRawData[Beds HH w/ only Children],
HicRawData[Project Type],$I$2,
HicRawData[Inventory Type],"C",
HicRawData[Project Type], TH_ProjectTypeHmisParticipation[[#This Row],[HMIS Beds by Project Type]],
HicRawData[HMIS Participating], "Yes")</f>
        <v>0</v>
      </c>
      <c r="E50" s="23">
        <f t="shared" si="0"/>
        <v>0</v>
      </c>
    </row>
    <row r="51" spans="1:5" ht="17.100000000000001" customHeight="1" x14ac:dyDescent="0.3">
      <c r="A51" s="2" t="s">
        <v>5</v>
      </c>
      <c r="B51" s="23">
        <f>SUMIFS(HicRawData[Beds HH w/o Children],
HicRawData[Project Type],$I$2,
HicRawData[Inventory Type],"C",
HicRawData[Project Type], TH_ProjectTypeHmisParticipation[[#This Row],[HMIS Beds by Project Type]],
HicRawData[HMIS Participating], "Yes")</f>
        <v>0</v>
      </c>
      <c r="C51" s="23">
        <f>SUMIFS(HicRawData[Beds HH w/ Children],
HicRawData[Project Type],$I$2,
HicRawData[Inventory Type],"C",
HicRawData[Project Type], TH_ProjectTypeHmisParticipation[[#This Row],[HMIS Beds by Project Type]],
HicRawData[HMIS Participating], "Yes")</f>
        <v>0</v>
      </c>
      <c r="D51" s="23">
        <f>SUMIFS(HicRawData[Beds HH w/ only Children],
HicRawData[Project Type],$I$2,
HicRawData[Inventory Type],"C",
HicRawData[Project Type], TH_ProjectTypeHmisParticipation[[#This Row],[HMIS Beds by Project Type]],
HicRawData[HMIS Participating], "Yes")</f>
        <v>0</v>
      </c>
      <c r="E51" s="23">
        <f t="shared" si="0"/>
        <v>0</v>
      </c>
    </row>
    <row r="52" spans="1:5" ht="17.100000000000001" customHeight="1" x14ac:dyDescent="0.3">
      <c r="A52" s="2" t="s">
        <v>7</v>
      </c>
      <c r="B52" s="23">
        <f>SUMIFS(HicRawData[Beds HH w/o Children],
HicRawData[Project Type],$I$2,
HicRawData[Inventory Type],"C",
HicRawData[Project Type], TH_ProjectTypeHmisParticipation[[#This Row],[HMIS Beds by Project Type]],
HicRawData[HMIS Participating], "Yes")</f>
        <v>0</v>
      </c>
      <c r="C52" s="23">
        <f>SUMIFS(HicRawData[Beds HH w/ Children],
HicRawData[Project Type],$I$2,
HicRawData[Inventory Type],"C",
HicRawData[Project Type], TH_ProjectTypeHmisParticipation[[#This Row],[HMIS Beds by Project Type]],
HicRawData[HMIS Participating], "Yes")</f>
        <v>0</v>
      </c>
      <c r="D52" s="23">
        <f>SUMIFS(HicRawData[Beds HH w/ only Children],
HicRawData[Project Type],$I$2,
HicRawData[Inventory Type],"C",
HicRawData[Project Type], TH_ProjectTypeHmisParticipation[[#This Row],[HMIS Beds by Project Type]],
HicRawData[HMIS Participating], "Yes")</f>
        <v>0</v>
      </c>
      <c r="E52" s="23">
        <f t="shared" si="0"/>
        <v>0</v>
      </c>
    </row>
    <row r="53" spans="1:5" x14ac:dyDescent="0.3">
      <c r="A53" s="2" t="s">
        <v>100</v>
      </c>
      <c r="B53" s="26">
        <f>SUBTOTAL(109,TH_ProjectTypeHmisParticipation[Households without Children])</f>
        <v>67</v>
      </c>
      <c r="C53" s="26">
        <f>SUBTOTAL(109,TH_ProjectTypeHmisParticipation[Households with Children])</f>
        <v>6</v>
      </c>
      <c r="D53" s="26">
        <f>SUBTOTAL(109,TH_ProjectTypeHmisParticipation[Households with only Children])</f>
        <v>2</v>
      </c>
      <c r="E53" s="23">
        <f>SUBTOTAL(109,TH_ProjectTypeHmisParticipation[Total Year-Round Beds])</f>
        <v>75</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eoBHvzQz77gUJJ36M61SRihUlJMHcpiBH18ADppUGGuhwKHYgf6/OxvdUitxV8wbA4zrNAD8+12rN3Z7HpD7ig==" saltValue="VEwG/fIjLAaIdJ5dcwckQQ==" spinCount="100000" sheet="1" objects="1" scenarios="1"/>
  <conditionalFormatting sqref="A4:G4">
    <cfRule type="expression" dxfId="18"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0518-F172-4864-AD0A-A00E720DA729}">
  <sheetPr codeName="Sheet5"/>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SH Beds Summary</v>
      </c>
      <c r="B2" s="30"/>
      <c r="C2" s="30"/>
      <c r="D2" s="30"/>
      <c r="E2" s="30"/>
      <c r="F2" s="30"/>
      <c r="G2" s="30"/>
      <c r="I2" s="33" t="s">
        <v>11</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0</v>
      </c>
      <c r="C7" s="20">
        <f>SUMIFS(HicRawData[Beds HH w/ Children],
HicRawData[Project Type],$I$2,
HicRawData[Inventory Type],"C",
HicRawData[HMIS Participating],$I7)</f>
        <v>0</v>
      </c>
      <c r="D7" s="20">
        <f>SUMIFS(HicRawData[Beds HH w/ only Children],
HicRawData[Project Type],$I$2,
HicRawData[Inventory Type],"C",
HicRawData[HMIS Participating],$I7)</f>
        <v>0</v>
      </c>
      <c r="E7" s="20">
        <f>SUM(SH_HmisParticipation[[#This Row],[Households without Children]:[Households with only Children]])</f>
        <v>0</v>
      </c>
      <c r="I7" s="33" t="s">
        <v>9</v>
      </c>
    </row>
    <row r="8" spans="1:9" ht="17.100000000000001" customHeight="1" x14ac:dyDescent="0.3">
      <c r="A8" s="10" t="s">
        <v>108</v>
      </c>
      <c r="B8" s="20">
        <f>SUMIFS(HicRawData[Beds HH w/o Children],
HicRawData[Project Type],$I$2,
HicRawData[Inventory Type],"C",
HicRawData[HMIS Participating],$I8)</f>
        <v>0</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SUM(SH_HmisParticipation[[#This Row],[Households without Children]:[Households with only Children]])</f>
        <v>0</v>
      </c>
      <c r="I8" s="33" t="s">
        <v>12</v>
      </c>
    </row>
    <row r="9" spans="1:9" ht="17.100000000000001" customHeight="1" x14ac:dyDescent="0.3">
      <c r="A9" s="10" t="s">
        <v>130</v>
      </c>
      <c r="B9" s="20">
        <f>SUMIFS(HicRawData[Beds HH w/o Children],
HicRawData[Project Type],$I$2,
HicRawData[Inventory Type],"C",
HicRawData[HMIS Participating],$I9)</f>
        <v>0</v>
      </c>
      <c r="C9" s="20">
        <f>SUMIFS(HicRawData[Beds HH w/ Children],
HicRawData[Project Type],$I$2,
HicRawData[Inventory Type],"C",
HicRawData[HMIS Participating],$I9)</f>
        <v>0</v>
      </c>
      <c r="D9" s="20">
        <f>SUMIFS(HicRawData[Beds HH w/ only Children],
HicRawData[Project Type],$I$2,
HicRawData[Inventory Type],"C",
HicRawData[HMIS Participating],$I9)</f>
        <v>0</v>
      </c>
      <c r="E9" s="20">
        <f>SUM(SH_HmisParticipation[[#This Row],[Households without Children]:[Households with only Children]])</f>
        <v>0</v>
      </c>
      <c r="I9" s="33" t="s">
        <v>115</v>
      </c>
    </row>
    <row r="10" spans="1:9" ht="17.100000000000001" customHeight="1" x14ac:dyDescent="0.3">
      <c r="A10" s="2" t="s">
        <v>100</v>
      </c>
      <c r="B10" s="20">
        <f>SUBTOTAL(109,SH_HmisParticipation[Households without Children])</f>
        <v>0</v>
      </c>
      <c r="C10" s="20">
        <f>SUBTOTAL(109,SH_HmisParticipation[Households with Children])</f>
        <v>0</v>
      </c>
      <c r="D10" s="20">
        <f>SUBTOTAL(109,SH_HmisParticipation[Households with only Children])</f>
        <v>0</v>
      </c>
      <c r="E10" s="20">
        <f>SUBTOTAL(109,SH_HmisParticipation[Total Year-Round Beds])</f>
        <v>0</v>
      </c>
    </row>
    <row r="11" spans="1:9" ht="15" customHeight="1" x14ac:dyDescent="0.3">
      <c r="A11" s="4" t="s">
        <v>101</v>
      </c>
      <c r="B11" s="21" t="str">
        <f>IF(B7=0,"N/A",B7/SH_HmisParticipation[[#Totals],[Households without Children]])</f>
        <v>N/A</v>
      </c>
      <c r="C11" s="21" t="str">
        <f>IF(C7=0,"N/A",C7/SH_HmisParticipation[[#Totals],[Households with Children]])</f>
        <v>N/A</v>
      </c>
      <c r="D11" s="21" t="str">
        <f>IF(D7=0,"N/A",D7/SH_HmisParticipation[[#Totals],[Households with only Children]])</f>
        <v>N/A</v>
      </c>
      <c r="E11" s="21" t="str">
        <f>IF(E7=0,"N/A",E7/SH_HmisParticipation[[#Totals],[Total Year-Round Beds]])</f>
        <v>N/A</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0</v>
      </c>
      <c r="C14" s="20">
        <f>SUMIFS(HicRawData[Beds HH w/ Children],
HicRawData[Project Type],$I$2,
HicRawData[Inventory Type],"C",
HicRawData[HMIS Participating],$I14,
HicRawData[Victim Service Provider],0)</f>
        <v>0</v>
      </c>
      <c r="D14" s="20">
        <f>SUMIFS(HicRawData[Beds HH w/ only Children],
HicRawData[Project Type],$I$2,
HicRawData[Inventory Type],"C",
HicRawData[HMIS Participating],$I14,
HicRawData[Victim Service Provider],0)</f>
        <v>0</v>
      </c>
      <c r="E14" s="20">
        <f>SUM(SH_NonVspHmisParticipation[[#This Row],[Households without Children]:[Households with only Children]])</f>
        <v>0</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0</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SUM(SH_NonVspHmisParticipation[[#This Row],[Households without Children]:[Households with only Children]])</f>
        <v>0</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SUM(SH_NonVspHmisParticipation[[#This Row],[Households without Children]:[Households with only Children]])</f>
        <v>0</v>
      </c>
      <c r="I16" s="33" t="s">
        <v>115</v>
      </c>
    </row>
    <row r="17" spans="1:9" ht="17.100000000000001" customHeight="1" x14ac:dyDescent="0.3">
      <c r="A17" s="10" t="s">
        <v>100</v>
      </c>
      <c r="B17" s="22">
        <f>SUBTOTAL(109,SH_NonVspHmisParticipation[Households without Children])</f>
        <v>0</v>
      </c>
      <c r="C17" s="22">
        <f>SUBTOTAL(109,SH_NonVspHmisParticipation[Households with Children])</f>
        <v>0</v>
      </c>
      <c r="D17" s="22">
        <f>SUBTOTAL(109,SH_NonVspHmisParticipation[Households with only Children])</f>
        <v>0</v>
      </c>
      <c r="E17" s="22">
        <f>SUBTOTAL(109,SH_NonVspHmisParticipation[Total Year-Round Beds])</f>
        <v>0</v>
      </c>
    </row>
    <row r="18" spans="1:9" ht="15" customHeight="1" x14ac:dyDescent="0.3">
      <c r="A18" s="4" t="s">
        <v>128</v>
      </c>
      <c r="B18" s="21" t="str">
        <f>IF(B14=0,"N/A",B14/SH_NonVspHmisParticipation[[#Totals],[Households without Children]])</f>
        <v>N/A</v>
      </c>
      <c r="C18" s="21" t="str">
        <f>IF(C14=0,"N/A",C14/SH_NonVspHmisParticipation[[#Totals],[Households with Children]])</f>
        <v>N/A</v>
      </c>
      <c r="D18" s="21" t="str">
        <f>IF(D14=0,"N/A",D14/SH_NonVspHmisParticipation[[#Totals],[Households with only Children]])</f>
        <v>N/A</v>
      </c>
      <c r="E18" s="21" t="str">
        <f>IF(E14=0,"N/A",E14/SH_NonVspHmisParticipation[[#Totals],[Total Year-Round Beds]])</f>
        <v>N/A</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Population],SH_TargetPopulation[[#This Row],[Beds by Target Population]])</f>
        <v>0</v>
      </c>
      <c r="C21" s="24">
        <f>SUMIFS(HicRawData[Beds HH w/ Children],
HicRawData[Project Type],$I$2,
HicRawData[Inventory Type],"C",
HicRawData[Target Population],SH_TargetPopulation[[#This Row],[Beds by Target Population]])</f>
        <v>0</v>
      </c>
      <c r="D21" s="24">
        <f>SUMIFS(HicRawData[Beds HH w/ only Children],
HicRawData[Project Type],$I$2,
HicRawData[Inventory Type],"C",
HicRawData[Target Population],SH_TargetPopulation[[#This Row],[Beds by Target Population]])</f>
        <v>0</v>
      </c>
      <c r="E21" s="24">
        <f>SUM(SH_TargetPopulation[[#This Row],[Households without Children]:[Households with only Children]])</f>
        <v>0</v>
      </c>
    </row>
    <row r="22" spans="1:9" ht="17.100000000000001" customHeight="1" x14ac:dyDescent="0.3">
      <c r="A22" s="2" t="s">
        <v>10</v>
      </c>
      <c r="B22" s="24">
        <f>SUMIFS(HicRawData[Beds HH w/o Children],
HicRawData[Project Type],$I$2,
HicRawData[Inventory Type],"C",
HicRawData[Target Population],SH_TargetPopulation[[#This Row],[Beds by Target Population]])</f>
        <v>0</v>
      </c>
      <c r="C22" s="24">
        <f>SUMIFS(HicRawData[Beds HH w/ Children],
HicRawData[Project Type],$I$2,
HicRawData[Inventory Type],"C",
HicRawData[Target Population],SH_TargetPopulation[[#This Row],[Beds by Target Population]])</f>
        <v>0</v>
      </c>
      <c r="D22" s="24">
        <f>SUMIFS(HicRawData[Beds HH w/ only Children],
HicRawData[Project Type],$I$2,
HicRawData[Inventory Type],"C",
HicRawData[Target Population],SH_TargetPopulation[[#This Row],[Beds by Target Population]])</f>
        <v>0</v>
      </c>
      <c r="E22" s="24">
        <f>SUM(SH_TargetPopulation[[#This Row],[Households without Children]:[Households with only Children]])</f>
        <v>0</v>
      </c>
    </row>
    <row r="23" spans="1:9" ht="17.100000000000001" customHeight="1" x14ac:dyDescent="0.3">
      <c r="A23" s="2" t="s">
        <v>0</v>
      </c>
      <c r="B23" s="24">
        <f>SUMIFS(HicRawData[Beds HH w/o Children],
HicRawData[Project Type],$I$2,
HicRawData[Inventory Type],"C",
HicRawData[Target Population],SH_TargetPopulation[[#This Row],[Beds by Target Population]])</f>
        <v>0</v>
      </c>
      <c r="C23" s="24">
        <f>SUMIFS(HicRawData[Beds HH w/ Children],
HicRawData[Project Type],$I$2,
HicRawData[Inventory Type],"C",
HicRawData[Target Population],SH_TargetPopulation[[#This Row],[Beds by Target Population]])</f>
        <v>0</v>
      </c>
      <c r="D23" s="24">
        <f>SUMIFS(HicRawData[Beds HH w/ only Children],
HicRawData[Project Type],$I$2,
HicRawData[Inventory Type],"C",
HicRawData[Target Population],SH_TargetPopulation[[#This Row],[Beds by Target Population]])</f>
        <v>0</v>
      </c>
      <c r="E23" s="24">
        <f>SUM(SH_TargetPopulation[[#This Row],[Households without Children]:[Households with only Children]])</f>
        <v>0</v>
      </c>
    </row>
    <row r="24" spans="1:9" ht="15" customHeight="1" x14ac:dyDescent="0.3">
      <c r="A24" s="2" t="s">
        <v>100</v>
      </c>
      <c r="B24" s="25">
        <f>SUBTOTAL(109,SH_TargetPopulation[Households without Children])</f>
        <v>0</v>
      </c>
      <c r="C24" s="25">
        <f>SUBTOTAL(109,SH_TargetPopulation[Households with Children])</f>
        <v>0</v>
      </c>
      <c r="D24" s="25">
        <f>SUBTOTAL(109,SH_TargetPopulation[Households with only Children])</f>
        <v>0</v>
      </c>
      <c r="E24" s="25">
        <f>SUBTOTAL(109,SH_TargetPopulation[Total Year-Round Beds])</f>
        <v>0</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0</v>
      </c>
      <c r="C27" s="24">
        <f>SUMIFS(HicRawData[Beds HH w/ Children],
HicRawData[Project Type],$I$2,
HicRawData[Inventory Type],$I27)</f>
        <v>0</v>
      </c>
      <c r="D27" s="24">
        <f>SUMIFS(HicRawData[Beds HH w/ only Children],
HicRawData[Project Type],$I$2,
HicRawData[Inventory Type],$I27)</f>
        <v>0</v>
      </c>
      <c r="E27" s="24">
        <f>SUM(SH_InventoryType[[#This Row],[Households without Children]:[Households with only Children]])</f>
        <v>0</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SUM(SH_InventoryType[[#This Row],[Households without Children]:[Households with only Children]])</f>
        <v>0</v>
      </c>
      <c r="I28" s="33" t="s">
        <v>6</v>
      </c>
    </row>
    <row r="29" spans="1:9" ht="15" customHeight="1" x14ac:dyDescent="0.3">
      <c r="A29" s="2" t="s">
        <v>100</v>
      </c>
      <c r="B29" s="25">
        <f>SUBTOTAL(109,SH_InventoryType[Households without Children])</f>
        <v>0</v>
      </c>
      <c r="C29" s="25">
        <f>SUBTOTAL(109,SH_InventoryType[Households with Children])</f>
        <v>0</v>
      </c>
      <c r="D29" s="25">
        <f>SUBTOTAL(109,SH_InventoryType[Households with only Children])</f>
        <v>0</v>
      </c>
      <c r="E29" s="25">
        <f>SUBTOTAL(109,SH_InventoryType[Total Year-Round Beds])</f>
        <v>0</v>
      </c>
    </row>
    <row r="30" spans="1:9" ht="15" customHeight="1" x14ac:dyDescent="0.3">
      <c r="B30" s="25"/>
      <c r="C30" s="25"/>
      <c r="D30" s="25"/>
      <c r="E30" s="25"/>
    </row>
    <row r="31" spans="1:9" ht="72" customHeight="1" x14ac:dyDescent="0.3">
      <c r="A31"/>
      <c r="B31"/>
      <c r="C31"/>
      <c r="D31" s="28"/>
      <c r="E31" s="25"/>
      <c r="I31" s="33" t="s">
        <v>84</v>
      </c>
    </row>
    <row r="32" spans="1:9" ht="15" customHeight="1" x14ac:dyDescent="0.3">
      <c r="A32"/>
      <c r="B32"/>
      <c r="C32"/>
      <c r="D32" s="27"/>
      <c r="E32" s="25"/>
      <c r="I32" s="33" t="s">
        <v>9</v>
      </c>
    </row>
    <row r="33" spans="1:12" ht="15" customHeight="1" x14ac:dyDescent="0.3">
      <c r="A33"/>
      <c r="B33"/>
      <c r="C33"/>
      <c r="D33" s="27"/>
      <c r="E33" s="25"/>
      <c r="F33" s="25"/>
      <c r="I33" s="33" t="s">
        <v>12</v>
      </c>
      <c r="J33" s="3"/>
    </row>
    <row r="34" spans="1:12" ht="15" customHeight="1" x14ac:dyDescent="0.3">
      <c r="A34"/>
      <c r="B34"/>
      <c r="C34"/>
      <c r="D34" s="27"/>
      <c r="E34" s="25"/>
      <c r="F34" s="25"/>
      <c r="I34" s="33" t="s">
        <v>115</v>
      </c>
      <c r="J34" s="3"/>
    </row>
    <row r="35" spans="1:12" ht="15" customHeight="1" x14ac:dyDescent="0.3">
      <c r="A35"/>
      <c r="B35"/>
      <c r="C35"/>
      <c r="D35" s="25"/>
      <c r="E35" s="2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SH_ProjectType[[#This Row],[All Beds by Project Type]])</f>
        <v>0</v>
      </c>
      <c r="C38" s="24">
        <f>SUMIFS(HicRawData[Beds HH w/ Children],
HicRawData[Project Type],$I$2,
HicRawData[Inventory Type],"C",
HicRawData[Project Type], SH_ProjectType[[#This Row],[All Beds by Project Type]])</f>
        <v>0</v>
      </c>
      <c r="D38" s="24">
        <f>SUMIFS(HicRawData[Beds HH w/ only Children],
HicRawData[Project Type],$I$2,
HicRawData[Inventory Type],"C",
HicRawData[Project Type], SH_ProjectType[[#This Row],[All Beds by Project Type]])</f>
        <v>0</v>
      </c>
      <c r="E38" s="24">
        <f>SUM(SH_ProjectType[[#This Row],[Households without Children]:[Households with only Children]])</f>
        <v>0</v>
      </c>
    </row>
    <row r="39" spans="1:12" ht="17.100000000000001" customHeight="1" x14ac:dyDescent="0.3">
      <c r="A39" s="2" t="s">
        <v>2</v>
      </c>
      <c r="B39" s="24">
        <f>SUMIFS(HicRawData[Beds HH w/o Children],
HicRawData[Project Type],$I$2,
HicRawData[Inventory Type],"C",
HicRawData[Project Type], SH_ProjectType[[#This Row],[All Beds by Project Type]])</f>
        <v>0</v>
      </c>
      <c r="C39" s="24">
        <f>SUMIFS(HicRawData[Beds HH w/ Children],
HicRawData[Project Type],$I$2,
HicRawData[Inventory Type],"C",
HicRawData[Project Type], SH_ProjectType[[#This Row],[All Beds by Project Type]])</f>
        <v>0</v>
      </c>
      <c r="D39" s="24">
        <f>SUMIFS(HicRawData[Beds HH w/ only Children],
HicRawData[Project Type],$I$2,
HicRawData[Inventory Type],"C",
HicRawData[Project Type], SH_ProjectType[[#This Row],[All Beds by Project Type]])</f>
        <v>0</v>
      </c>
      <c r="E39" s="24">
        <f>SUM(SH_ProjectType[[#This Row],[Households without Children]:[Households with only Children]])</f>
        <v>0</v>
      </c>
      <c r="H39" s="6"/>
    </row>
    <row r="40" spans="1:12" ht="17.100000000000001" customHeight="1" x14ac:dyDescent="0.3">
      <c r="A40" s="2" t="s">
        <v>11</v>
      </c>
      <c r="B40" s="24">
        <f>SUMIFS(HicRawData[Beds HH w/o Children],
HicRawData[Project Type],$I$2,
HicRawData[Inventory Type],"C",
HicRawData[Project Type], SH_ProjectType[[#This Row],[All Beds by Project Type]])</f>
        <v>0</v>
      </c>
      <c r="C40" s="24">
        <f>SUMIFS(HicRawData[Beds HH w/ Children],
HicRawData[Project Type],$I$2,
HicRawData[Inventory Type],"C",
HicRawData[Project Type], SH_ProjectType[[#This Row],[All Beds by Project Type]])</f>
        <v>0</v>
      </c>
      <c r="D40" s="24">
        <f>SUMIFS(HicRawData[Beds HH w/ only Children],
HicRawData[Project Type],$I$2,
HicRawData[Inventory Type],"C",
HicRawData[Project Type], SH_ProjectType[[#This Row],[All Beds by Project Type]])</f>
        <v>0</v>
      </c>
      <c r="E40" s="24">
        <f>SUM(SH_ProjectType[[#This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SH_ProjectType[[#This Row],[All Beds by Project Type]])</f>
        <v>0</v>
      </c>
      <c r="C41" s="24">
        <f>SUMIFS(HicRawData[Beds HH w/ Children],
HicRawData[Project Type],$I$2,
HicRawData[Inventory Type],"C",
HicRawData[Project Type], SH_ProjectType[[#This Row],[All Beds by Project Type]])</f>
        <v>0</v>
      </c>
      <c r="D41" s="24">
        <f>SUMIFS(HicRawData[Beds HH w/ only Children],
HicRawData[Project Type],$I$2,
HicRawData[Inventory Type],"C",
HicRawData[Project Type], SH_ProjectType[[#This Row],[All Beds by Project Type]])</f>
        <v>0</v>
      </c>
      <c r="E41" s="24">
        <f>SUM(SH_ProjectType[[#This Row],[Households without Children]:[Households with only Children]])</f>
        <v>0</v>
      </c>
    </row>
    <row r="42" spans="1:12" ht="17.100000000000001" customHeight="1" x14ac:dyDescent="0.3">
      <c r="A42" s="2" t="s">
        <v>5</v>
      </c>
      <c r="B42" s="24">
        <f>SUMIFS(HicRawData[Beds HH w/o Children],
HicRawData[Project Type],$I$2,
HicRawData[Inventory Type],"C",
HicRawData[Project Type], SH_ProjectType[[#This Row],[All Beds by Project Type]])</f>
        <v>0</v>
      </c>
      <c r="C42" s="24">
        <f>SUMIFS(HicRawData[Beds HH w/ Children],
HicRawData[Project Type],$I$2,
HicRawData[Inventory Type],"C",
HicRawData[Project Type], SH_ProjectType[[#This Row],[All Beds by Project Type]])</f>
        <v>0</v>
      </c>
      <c r="D42" s="24">
        <f>SUMIFS(HicRawData[Beds HH w/ only Children],
HicRawData[Project Type],$I$2,
HicRawData[Inventory Type],"C",
HicRawData[Project Type], SH_ProjectType[[#This Row],[All Beds by Project Type]])</f>
        <v>0</v>
      </c>
      <c r="E42" s="24">
        <f>SUM(SH_ProjectType[[#This Row],[Households without Children]:[Households with only Children]])</f>
        <v>0</v>
      </c>
    </row>
    <row r="43" spans="1:12" ht="17.100000000000001" customHeight="1" x14ac:dyDescent="0.3">
      <c r="A43" s="2" t="s">
        <v>7</v>
      </c>
      <c r="B43" s="24">
        <f>SUMIFS(HicRawData[Beds HH w/o Children],
HicRawData[Project Type],$I$2,
HicRawData[Inventory Type],"C",
HicRawData[Project Type], SH_ProjectType[[#This Row],[All Beds by Project Type]])</f>
        <v>0</v>
      </c>
      <c r="C43" s="24">
        <f>SUMIFS(HicRawData[Beds HH w/ Children],
HicRawData[Project Type],$I$2,
HicRawData[Inventory Type],"C",
HicRawData[Project Type], SH_ProjectType[[#This Row],[All Beds by Project Type]])</f>
        <v>0</v>
      </c>
      <c r="D43" s="24">
        <f>SUMIFS(HicRawData[Beds HH w/ only Children],
HicRawData[Project Type],$I$2,
HicRawData[Inventory Type],"C",
HicRawData[Project Type], SH_ProjectType[[#This Row],[All Beds by Project Type]])</f>
        <v>0</v>
      </c>
      <c r="E43" s="24">
        <f>SUM(SH_ProjectType[[#This Row],[Households without Children]:[Households with only Children]])</f>
        <v>0</v>
      </c>
    </row>
    <row r="44" spans="1:12" ht="15" customHeight="1" x14ac:dyDescent="0.3">
      <c r="A44" s="2" t="s">
        <v>100</v>
      </c>
      <c r="B44" s="25">
        <f>SUBTOTAL(109,SH_ProjectType[Households without Children])</f>
        <v>0</v>
      </c>
      <c r="C44" s="25">
        <f>SUBTOTAL(109,SH_ProjectType[Households with Children])</f>
        <v>0</v>
      </c>
      <c r="D44" s="25">
        <f>SUBTOTAL(109,SH_ProjectType[Households with only Children])</f>
        <v>0</v>
      </c>
      <c r="E44" s="25">
        <f>SUBTOTAL(109,SH_ProjectType[Total Year-Round Beds])</f>
        <v>0</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SH_ProjectTypeHmisParticipation[[#This Row],[HMIS Beds by Project Type]],
HicRawData[HMIS Participating], "Yes")</f>
        <v>0</v>
      </c>
      <c r="C47" s="24">
        <f>SUMIFS(HicRawData[Beds HH w/ Children],
HicRawData[Project Type],$I$2,
HicRawData[Inventory Type],"C",
HicRawData[Project Type], SH_ProjectTypeHmisParticipation[[#This Row],[HMIS Beds by Project Type]],
HicRawData[HMIS Participating], "Yes")</f>
        <v>0</v>
      </c>
      <c r="D47" s="24">
        <f>SUMIFS(HicRawData[Beds HH w/ only Children],
HicRawData[Project Type],$I$2,
HicRawData[Inventory Type],"C",
HicRawData[Project Type], SH_ProjectTypeHmisParticipation[[#This Row],[HMIS Beds by Project Type]],
HicRawData[HMIS Participating], "Yes")</f>
        <v>0</v>
      </c>
      <c r="E47" s="23">
        <f>B47+C47+D47</f>
        <v>0</v>
      </c>
    </row>
    <row r="48" spans="1:12" ht="17.100000000000001" customHeight="1" x14ac:dyDescent="0.3">
      <c r="A48" s="2" t="s">
        <v>2</v>
      </c>
      <c r="B48" s="23">
        <f>SUMIFS(HicRawData[Beds HH w/o Children],
HicRawData[Project Type],$I$2,
HicRawData[Inventory Type],"C",
HicRawData[Project Type], SH_ProjectTypeHmisParticipation[[#This Row],[HMIS Beds by Project Type]],
HicRawData[HMIS Participating], "Yes")</f>
        <v>0</v>
      </c>
      <c r="C48" s="23">
        <f>SUMIFS(HicRawData[Beds HH w/ Children],
HicRawData[Project Type],$I$2,
HicRawData[Inventory Type],"C",
HicRawData[Project Type], SH_ProjectTypeHmisParticipation[[#This Row],[HMIS Beds by Project Type]],
HicRawData[HMIS Participating], "Yes")</f>
        <v>0</v>
      </c>
      <c r="D48" s="23">
        <f>SUMIFS(HicRawData[Beds HH w/ only Children],
HicRawData[Project Type],$I$2,
HicRawData[Inventory Type],"C",
HicRawData[Project Type], SH_ProjectTypeHmisParticipation[[#This Row],[HMIS Beds by Project Type]],
HicRawData[HMIS Participating], "Yes")</f>
        <v>0</v>
      </c>
      <c r="E48" s="23">
        <f t="shared" ref="E48:E52" si="0">B48+C48+D48</f>
        <v>0</v>
      </c>
    </row>
    <row r="49" spans="1:5" ht="17.100000000000001" customHeight="1" x14ac:dyDescent="0.3">
      <c r="A49" s="2" t="s">
        <v>11</v>
      </c>
      <c r="B49" s="23">
        <f>SUMIFS(HicRawData[Beds HH w/o Children],
HicRawData[Project Type],$I$2,
HicRawData[Inventory Type],"C",
HicRawData[Project Type], SH_ProjectTypeHmisParticipation[[#This Row],[HMIS Beds by Project Type]],
HicRawData[HMIS Participating], "Yes")</f>
        <v>0</v>
      </c>
      <c r="C49" s="23">
        <f>SUMIFS(HicRawData[Beds HH w/ Children],
HicRawData[Project Type],$I$2,
HicRawData[Inventory Type],"C",
HicRawData[Project Type], SH_ProjectTypeHmisParticipation[[#This Row],[HMIS Beds by Project Type]],
HicRawData[HMIS Participating], "Yes")</f>
        <v>0</v>
      </c>
      <c r="D49" s="23">
        <f>SUMIFS(HicRawData[Beds HH w/ only Children],
HicRawData[Project Type],$I$2,
HicRawData[Inventory Type],"C",
HicRawData[Project Type], SH_ProjectTypeHmisParticipation[[#This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SH_ProjectTypeHmisParticipation[[#This Row],[HMIS Beds by Project Type]],
HicRawData[HMIS Participating], "Yes")</f>
        <v>0</v>
      </c>
      <c r="C50" s="23">
        <f>SUMIFS(HicRawData[Beds HH w/ Children],
HicRawData[Project Type],$I$2,
HicRawData[Inventory Type],"C",
HicRawData[Project Type], SH_ProjectTypeHmisParticipation[[#This Row],[HMIS Beds by Project Type]],
HicRawData[HMIS Participating], "Yes")</f>
        <v>0</v>
      </c>
      <c r="D50" s="23">
        <f>SUMIFS(HicRawData[Beds HH w/ only Children],
HicRawData[Project Type],$I$2,
HicRawData[Inventory Type],"C",
HicRawData[Project Type], SH_ProjectTypeHmisParticipation[[#This Row],[HMIS Beds by Project Type]],
HicRawData[HMIS Participating], "Yes")</f>
        <v>0</v>
      </c>
      <c r="E50" s="23">
        <f t="shared" si="0"/>
        <v>0</v>
      </c>
    </row>
    <row r="51" spans="1:5" ht="17.100000000000001" customHeight="1" x14ac:dyDescent="0.3">
      <c r="A51" s="2" t="s">
        <v>5</v>
      </c>
      <c r="B51" s="23">
        <f>SUMIFS(HicRawData[Beds HH w/o Children],
HicRawData[Project Type],$I$2,
HicRawData[Inventory Type],"C",
HicRawData[Project Type], SH_ProjectTypeHmisParticipation[[#This Row],[HMIS Beds by Project Type]],
HicRawData[HMIS Participating], "Yes")</f>
        <v>0</v>
      </c>
      <c r="C51" s="23">
        <f>SUMIFS(HicRawData[Beds HH w/ Children],
HicRawData[Project Type],$I$2,
HicRawData[Inventory Type],"C",
HicRawData[Project Type], SH_ProjectTypeHmisParticipation[[#This Row],[HMIS Beds by Project Type]],
HicRawData[HMIS Participating], "Yes")</f>
        <v>0</v>
      </c>
      <c r="D51" s="23">
        <f>SUMIFS(HicRawData[Beds HH w/ only Children],
HicRawData[Project Type],$I$2,
HicRawData[Inventory Type],"C",
HicRawData[Project Type], SH_ProjectTypeHmisParticipation[[#This Row],[HMIS Beds by Project Type]],
HicRawData[HMIS Participating], "Yes")</f>
        <v>0</v>
      </c>
      <c r="E51" s="23">
        <f t="shared" si="0"/>
        <v>0</v>
      </c>
    </row>
    <row r="52" spans="1:5" ht="17.100000000000001" customHeight="1" x14ac:dyDescent="0.3">
      <c r="A52" s="2" t="s">
        <v>7</v>
      </c>
      <c r="B52" s="23">
        <f>SUMIFS(HicRawData[Beds HH w/o Children],
HicRawData[Project Type],$I$2,
HicRawData[Inventory Type],"C",
HicRawData[Project Type], SH_ProjectTypeHmisParticipation[[#This Row],[HMIS Beds by Project Type]],
HicRawData[HMIS Participating], "Yes")</f>
        <v>0</v>
      </c>
      <c r="C52" s="23">
        <f>SUMIFS(HicRawData[Beds HH w/ Children],
HicRawData[Project Type],$I$2,
HicRawData[Inventory Type],"C",
HicRawData[Project Type], SH_ProjectTypeHmisParticipation[[#This Row],[HMIS Beds by Project Type]],
HicRawData[HMIS Participating], "Yes")</f>
        <v>0</v>
      </c>
      <c r="D52" s="23">
        <f>SUMIFS(HicRawData[Beds HH w/ only Children],
HicRawData[Project Type],$I$2,
HicRawData[Inventory Type],"C",
HicRawData[Project Type], SH_ProjectTypeHmisParticipation[[#This Row],[HMIS Beds by Project Type]],
HicRawData[HMIS Participating], "Yes")</f>
        <v>0</v>
      </c>
      <c r="E52" s="23">
        <f t="shared" si="0"/>
        <v>0</v>
      </c>
    </row>
    <row r="53" spans="1:5" x14ac:dyDescent="0.3">
      <c r="A53" s="2" t="s">
        <v>100</v>
      </c>
      <c r="B53" s="26">
        <f>SUBTOTAL(109,SH_ProjectTypeHmisParticipation[Households without Children])</f>
        <v>0</v>
      </c>
      <c r="C53" s="26">
        <f>SUBTOTAL(109,SH_ProjectTypeHmisParticipation[Households with Children])</f>
        <v>0</v>
      </c>
      <c r="D53" s="26">
        <f>SUBTOTAL(109,SH_ProjectTypeHmisParticipation[Households with only Children])</f>
        <v>0</v>
      </c>
      <c r="E53" s="23">
        <f>SUBTOTAL(109,SH_ProjectTypeHmisParticipation[Total Year-Round Beds])</f>
        <v>0</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CPFzYrJJl9GVsKec/d5AFFN/aZhQwBJ06fwABxDfhptdxsQBRmvtl5zGDM2GoOQ05pXJIrTN7gsl9tSPMfF2HA==" saltValue="9Rh6KORwr9sTBitUcceu8Q==" spinCount="100000" sheet="1" objects="1" scenarios="1"/>
  <conditionalFormatting sqref="A4:G4">
    <cfRule type="expression" dxfId="17"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A67E-E30D-446A-A018-FDC4DD44F7E5}">
  <sheetPr codeName="Sheet6"/>
  <dimension ref="A1:L97"/>
  <sheetViews>
    <sheetView topLeftCell="A14" zoomScaleNormal="100" workbookViewId="0">
      <selection activeCell="A4" sqref="A4:XFD4"/>
    </sheetView>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PSH Beds Summary</v>
      </c>
      <c r="B2" s="30"/>
      <c r="C2" s="30"/>
      <c r="D2" s="30"/>
      <c r="E2" s="30"/>
      <c r="F2" s="30"/>
      <c r="G2" s="30"/>
      <c r="I2" s="33" t="s">
        <v>5</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128</v>
      </c>
      <c r="C7" s="20">
        <f>SUMIFS(HicRawData[Beds HH w/ Children],
HicRawData[Project Type],$I$2,
HicRawData[Inventory Type],"C",
HicRawData[HMIS Participating],$I7)</f>
        <v>23</v>
      </c>
      <c r="D7" s="20">
        <f>SUMIFS(HicRawData[Beds HH w/ only Children],
HicRawData[Project Type],$I$2,
HicRawData[Inventory Type],"C",
HicRawData[HMIS Participating],$I7)</f>
        <v>0</v>
      </c>
      <c r="E7" s="20">
        <f>SUM(PSH_HmisParticipation[[#This Row],[Households without Children]:[Households with only Children]])</f>
        <v>151</v>
      </c>
      <c r="I7" s="33" t="s">
        <v>9</v>
      </c>
    </row>
    <row r="8" spans="1:9" ht="17.100000000000001" customHeight="1" x14ac:dyDescent="0.3">
      <c r="A8" s="10" t="s">
        <v>108</v>
      </c>
      <c r="B8" s="20">
        <f>SUMIFS(HicRawData[Beds HH w/o Children],
HicRawData[Project Type],$I$2,
HicRawData[Inventory Type],"C",
HicRawData[HMIS Participating],$I8)</f>
        <v>221</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SUM(PSH_HmisParticipation[[#This Row],[Households without Children]:[Households with only Children]])</f>
        <v>221</v>
      </c>
      <c r="I8" s="33" t="s">
        <v>12</v>
      </c>
    </row>
    <row r="9" spans="1:9" ht="17.100000000000001" customHeight="1" x14ac:dyDescent="0.3">
      <c r="A9" s="10" t="s">
        <v>130</v>
      </c>
      <c r="B9" s="20">
        <f>SUMIFS(HicRawData[Beds HH w/o Children],
HicRawData[Project Type],$I$2,
HicRawData[Inventory Type],"C",
HicRawData[HMIS Participating],$I9)</f>
        <v>0</v>
      </c>
      <c r="C9" s="20">
        <f>SUMIFS(HicRawData[Beds HH w/ Children],
HicRawData[Project Type],$I$2,
HicRawData[Inventory Type],"C",
HicRawData[HMIS Participating],$I9)</f>
        <v>0</v>
      </c>
      <c r="D9" s="20">
        <f>SUMIFS(HicRawData[Beds HH w/ only Children],
HicRawData[Project Type],$I$2,
HicRawData[Inventory Type],"C",
HicRawData[HMIS Participating],$I9)</f>
        <v>0</v>
      </c>
      <c r="E9" s="20">
        <f>SUM(PSH_HmisParticipation[[#This Row],[Households without Children]:[Households with only Children]])</f>
        <v>0</v>
      </c>
      <c r="I9" s="33" t="s">
        <v>115</v>
      </c>
    </row>
    <row r="10" spans="1:9" ht="17.100000000000001" customHeight="1" x14ac:dyDescent="0.3">
      <c r="A10" s="2" t="s">
        <v>100</v>
      </c>
      <c r="B10" s="20">
        <f>SUBTOTAL(109,PSH_HmisParticipation[Households without Children])</f>
        <v>349</v>
      </c>
      <c r="C10" s="20">
        <f>SUBTOTAL(109,PSH_HmisParticipation[Households with Children])</f>
        <v>23</v>
      </c>
      <c r="D10" s="20">
        <f>SUBTOTAL(109,PSH_HmisParticipation[Households with only Children])</f>
        <v>0</v>
      </c>
      <c r="E10" s="20">
        <f>SUBTOTAL(109,PSH_HmisParticipation[Total Year-Round Beds])</f>
        <v>372</v>
      </c>
    </row>
    <row r="11" spans="1:9" ht="15" customHeight="1" x14ac:dyDescent="0.3">
      <c r="A11" s="4" t="s">
        <v>101</v>
      </c>
      <c r="B11" s="21">
        <f>IF(B7=0,"N/A",B7/PSH_HmisParticipation[[#Totals],[Households without Children]])</f>
        <v>0.36676217765042979</v>
      </c>
      <c r="C11" s="21">
        <f>IF(C7=0,"N/A",C7/PSH_HmisParticipation[[#Totals],[Households with Children]])</f>
        <v>1</v>
      </c>
      <c r="D11" s="21" t="str">
        <f>IF(D7=0,"N/A",D7/PSH_HmisParticipation[[#Totals],[Households with only Children]])</f>
        <v>N/A</v>
      </c>
      <c r="E11" s="21">
        <f>IF(E7=0,"N/A",E7/PSH_HmisParticipation[[#Totals],[Total Year-Round Beds]])</f>
        <v>0.40591397849462363</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128</v>
      </c>
      <c r="C14" s="20">
        <f>SUMIFS(HicRawData[Beds HH w/ Children],
HicRawData[Project Type],$I$2,
HicRawData[Inventory Type],"C",
HicRawData[HMIS Participating],$I14,
HicRawData[Victim Service Provider],0)</f>
        <v>23</v>
      </c>
      <c r="D14" s="20">
        <f>SUMIFS(HicRawData[Beds HH w/ only Children],
HicRawData[Project Type],$I$2,
HicRawData[Inventory Type],"C",
HicRawData[HMIS Participating],$I14,
HicRawData[Victim Service Provider],0)</f>
        <v>0</v>
      </c>
      <c r="E14" s="20">
        <f>SUM(PSH_NonVspHmisParticipation[[#This Row],[Households without Children]:[Households with only Children]])</f>
        <v>151</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221</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SUM(PSH_NonVspHmisParticipation[[#This Row],[Households without Children]:[Households with only Children]])</f>
        <v>221</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SUM(PSH_NonVspHmisParticipation[[#This Row],[Households without Children]:[Households with only Children]])</f>
        <v>0</v>
      </c>
      <c r="I16" s="33" t="s">
        <v>115</v>
      </c>
    </row>
    <row r="17" spans="1:9" ht="17.100000000000001" customHeight="1" x14ac:dyDescent="0.3">
      <c r="A17" s="10" t="s">
        <v>100</v>
      </c>
      <c r="B17" s="22">
        <f>SUBTOTAL(109,PSH_NonVspHmisParticipation[Households without Children])</f>
        <v>349</v>
      </c>
      <c r="C17" s="22">
        <f>SUBTOTAL(109,PSH_NonVspHmisParticipation[Households with Children])</f>
        <v>23</v>
      </c>
      <c r="D17" s="22">
        <f>SUBTOTAL(109,PSH_NonVspHmisParticipation[Households with only Children])</f>
        <v>0</v>
      </c>
      <c r="E17" s="22">
        <f>SUBTOTAL(109,PSH_NonVspHmisParticipation[Total Year-Round Beds])</f>
        <v>372</v>
      </c>
    </row>
    <row r="18" spans="1:9" ht="15" customHeight="1" x14ac:dyDescent="0.3">
      <c r="A18" s="4" t="s">
        <v>128</v>
      </c>
      <c r="B18" s="21">
        <f>IF(B14=0,"N/A",B14/PSH_NonVspHmisParticipation[[#Totals],[Households without Children]])</f>
        <v>0.36676217765042979</v>
      </c>
      <c r="C18" s="21">
        <f>IF(C14=0,"N/A",C14/PSH_NonVspHmisParticipation[[#Totals],[Households with Children]])</f>
        <v>1</v>
      </c>
      <c r="D18" s="21" t="str">
        <f>IF(D14=0,"N/A",D14/PSH_NonVspHmisParticipation[[#Totals],[Households with only Children]])</f>
        <v>N/A</v>
      </c>
      <c r="E18" s="21">
        <f>IF(E14=0,"N/A",E14/PSH_NonVspHmisParticipation[[#Totals],[Total Year-Round Beds]])</f>
        <v>0.40591397849462363</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Population],PSH_TargetPopulation[[#This Row],[Beds by Target Population]])</f>
        <v>0</v>
      </c>
      <c r="C21" s="24">
        <f>SUMIFS(HicRawData[Beds HH w/ Children],
HicRawData[Project Type],$I$2,
HicRawData[Inventory Type],"C",
HicRawData[Target Population],PSH_TargetPopulation[[#This Row],[Beds by Target Population]])</f>
        <v>0</v>
      </c>
      <c r="D21" s="24">
        <f>SUMIFS(HicRawData[Beds HH w/ only Children],
HicRawData[Project Type],$I$2,
HicRawData[Inventory Type],"C",
HicRawData[Target Population],PSH_TargetPopulation[[#This Row],[Beds by Target Population]])</f>
        <v>0</v>
      </c>
      <c r="E21" s="24">
        <f>SUM(PSH_TargetPopulation[[#This Row],[Households without Children]:[Households with only Children]])</f>
        <v>0</v>
      </c>
    </row>
    <row r="22" spans="1:9" ht="17.100000000000001" customHeight="1" x14ac:dyDescent="0.3">
      <c r="A22" s="2" t="s">
        <v>10</v>
      </c>
      <c r="B22" s="24">
        <f>SUMIFS(HicRawData[Beds HH w/o Children],
HicRawData[Project Type],$I$2,
HicRawData[Inventory Type],"C",
HicRawData[Target Population],PSH_TargetPopulation[[#This Row],[Beds by Target Population]])</f>
        <v>0</v>
      </c>
      <c r="C22" s="24">
        <f>SUMIFS(HicRawData[Beds HH w/ Children],
HicRawData[Project Type],$I$2,
HicRawData[Inventory Type],"C",
HicRawData[Target Population],PSH_TargetPopulation[[#This Row],[Beds by Target Population]])</f>
        <v>0</v>
      </c>
      <c r="D22" s="24">
        <f>SUMIFS(HicRawData[Beds HH w/ only Children],
HicRawData[Project Type],$I$2,
HicRawData[Inventory Type],"C",
HicRawData[Target Population],PSH_TargetPopulation[[#This Row],[Beds by Target Population]])</f>
        <v>0</v>
      </c>
      <c r="E22" s="24">
        <f>SUM(PSH_TargetPopulation[[#This Row],[Households without Children]:[Households with only Children]])</f>
        <v>0</v>
      </c>
    </row>
    <row r="23" spans="1:9" ht="17.100000000000001" customHeight="1" x14ac:dyDescent="0.3">
      <c r="A23" s="2" t="s">
        <v>0</v>
      </c>
      <c r="B23" s="24">
        <f>SUMIFS(HicRawData[Beds HH w/o Children],
HicRawData[Project Type],$I$2,
HicRawData[Inventory Type],"C",
HicRawData[Target Population],PSH_TargetPopulation[[#This Row],[Beds by Target Population]])</f>
        <v>349</v>
      </c>
      <c r="C23" s="24">
        <f>SUMIFS(HicRawData[Beds HH w/ Children],
HicRawData[Project Type],$I$2,
HicRawData[Inventory Type],"C",
HicRawData[Target Population],PSH_TargetPopulation[[#This Row],[Beds by Target Population]])</f>
        <v>23</v>
      </c>
      <c r="D23" s="24">
        <f>SUMIFS(HicRawData[Beds HH w/ only Children],
HicRawData[Project Type],$I$2,
HicRawData[Inventory Type],"C",
HicRawData[Target Population],PSH_TargetPopulation[[#This Row],[Beds by Target Population]])</f>
        <v>0</v>
      </c>
      <c r="E23" s="24">
        <f>SUM(PSH_TargetPopulation[[#This Row],[Households without Children]:[Households with only Children]])</f>
        <v>372</v>
      </c>
    </row>
    <row r="24" spans="1:9" ht="15" customHeight="1" x14ac:dyDescent="0.3">
      <c r="A24" s="2" t="s">
        <v>100</v>
      </c>
      <c r="B24" s="25">
        <f>SUBTOTAL(109,PSH_TargetPopulation[Households without Children])</f>
        <v>349</v>
      </c>
      <c r="C24" s="25">
        <f>SUBTOTAL(109,PSH_TargetPopulation[Households with Children])</f>
        <v>23</v>
      </c>
      <c r="D24" s="25">
        <f>SUBTOTAL(109,PSH_TargetPopulation[Households with only Children])</f>
        <v>0</v>
      </c>
      <c r="E24" s="25">
        <f>SUBTOTAL(109,PSH_TargetPopulation[Total Year-Round Beds])</f>
        <v>372</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349</v>
      </c>
      <c r="C27" s="24">
        <f>SUMIFS(HicRawData[Beds HH w/ Children],
HicRawData[Project Type],$I$2,
HicRawData[Inventory Type],$I27)</f>
        <v>23</v>
      </c>
      <c r="D27" s="24">
        <f>SUMIFS(HicRawData[Beds HH w/ only Children],
HicRawData[Project Type],$I$2,
HicRawData[Inventory Type],$I27)</f>
        <v>0</v>
      </c>
      <c r="E27" s="24">
        <f>SUM(PSH_InventoryType[[#This Row],[Households without Children]:[Households with only Children]])</f>
        <v>372</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SUM(PSH_InventoryType[[#This Row],[Households without Children]:[Households with only Children]])</f>
        <v>0</v>
      </c>
      <c r="I28" s="33" t="s">
        <v>6</v>
      </c>
    </row>
    <row r="29" spans="1:9" ht="15" customHeight="1" x14ac:dyDescent="0.3">
      <c r="A29" s="2" t="s">
        <v>100</v>
      </c>
      <c r="B29" s="25">
        <f>SUBTOTAL(109,PSH_InventoryType[Households without Children])</f>
        <v>349</v>
      </c>
      <c r="C29" s="25">
        <f>SUBTOTAL(109,PSH_InventoryType[Households with Children])</f>
        <v>23</v>
      </c>
      <c r="D29" s="25">
        <f>SUBTOTAL(109,PSH_InventoryType[Households with only Children])</f>
        <v>0</v>
      </c>
      <c r="E29" s="25">
        <f>SUBTOTAL(109,PSH_InventoryType[Total Year-Round Beds])</f>
        <v>372</v>
      </c>
    </row>
    <row r="30" spans="1:9" ht="15" customHeight="1" x14ac:dyDescent="0.3">
      <c r="B30" s="25"/>
      <c r="C30" s="25"/>
      <c r="D30" s="25"/>
      <c r="E30" s="25"/>
    </row>
    <row r="31" spans="1:9" ht="72" customHeight="1" x14ac:dyDescent="0.3">
      <c r="A31"/>
      <c r="B31"/>
      <c r="C31"/>
      <c r="D31" s="28"/>
      <c r="E31" s="25"/>
      <c r="I31" s="33" t="s">
        <v>84</v>
      </c>
    </row>
    <row r="32" spans="1:9" ht="15" customHeight="1" x14ac:dyDescent="0.3">
      <c r="A32"/>
      <c r="B32"/>
      <c r="C32"/>
      <c r="D32" s="27"/>
      <c r="E32" s="25"/>
      <c r="I32" s="33" t="s">
        <v>9</v>
      </c>
    </row>
    <row r="33" spans="1:12" ht="15" customHeight="1" x14ac:dyDescent="0.3">
      <c r="A33"/>
      <c r="B33"/>
      <c r="C33"/>
      <c r="D33" s="27"/>
      <c r="E33" s="25"/>
      <c r="F33" s="25"/>
      <c r="I33" s="33" t="s">
        <v>12</v>
      </c>
      <c r="J33" s="3"/>
    </row>
    <row r="34" spans="1:12" ht="15" customHeight="1" x14ac:dyDescent="0.3">
      <c r="A34"/>
      <c r="B34"/>
      <c r="C34"/>
      <c r="D34" s="27"/>
      <c r="E34" s="25"/>
      <c r="F34" s="25"/>
      <c r="I34" s="33" t="s">
        <v>115</v>
      </c>
      <c r="J34" s="3"/>
    </row>
    <row r="35" spans="1:12" ht="15" customHeight="1" x14ac:dyDescent="0.3">
      <c r="A35"/>
      <c r="B35"/>
      <c r="C35"/>
      <c r="D35" s="25"/>
      <c r="E35" s="2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PSH_ProjectType[[#This Row],[All Beds by Project Type]])</f>
        <v>0</v>
      </c>
      <c r="C38" s="24">
        <f>SUMIFS(HicRawData[Beds HH w/ Children],
HicRawData[Project Type],$I$2,
HicRawData[Inventory Type],"C",
HicRawData[Project Type], PSH_ProjectType[[#This Row],[All Beds by Project Type]])</f>
        <v>0</v>
      </c>
      <c r="D38" s="24">
        <f>SUMIFS(HicRawData[Beds HH w/ only Children],
HicRawData[Project Type],$I$2,
HicRawData[Inventory Type],"C",
HicRawData[Project Type], PSH_ProjectType[[#This Row],[All Beds by Project Type]])</f>
        <v>0</v>
      </c>
      <c r="E38" s="24">
        <f>SUM(PSH_ProjectType[[#This Row],[Households without Children]:[Households with only Children]])</f>
        <v>0</v>
      </c>
    </row>
    <row r="39" spans="1:12" ht="17.100000000000001" customHeight="1" x14ac:dyDescent="0.3">
      <c r="A39" s="2" t="s">
        <v>2</v>
      </c>
      <c r="B39" s="24">
        <f>SUMIFS(HicRawData[Beds HH w/o Children],
HicRawData[Project Type],$I$2,
HicRawData[Inventory Type],"C",
HicRawData[Project Type], PSH_ProjectType[[#This Row],[All Beds by Project Type]])</f>
        <v>0</v>
      </c>
      <c r="C39" s="24">
        <f>SUMIFS(HicRawData[Beds HH w/ Children],
HicRawData[Project Type],$I$2,
HicRawData[Inventory Type],"C",
HicRawData[Project Type], PSH_ProjectType[[#This Row],[All Beds by Project Type]])</f>
        <v>0</v>
      </c>
      <c r="D39" s="24">
        <f>SUMIFS(HicRawData[Beds HH w/ only Children],
HicRawData[Project Type],$I$2,
HicRawData[Inventory Type],"C",
HicRawData[Project Type], PSH_ProjectType[[#This Row],[All Beds by Project Type]])</f>
        <v>0</v>
      </c>
      <c r="E39" s="24">
        <f>SUM(PSH_ProjectType[[#This Row],[Households without Children]:[Households with only Children]])</f>
        <v>0</v>
      </c>
      <c r="H39" s="6"/>
    </row>
    <row r="40" spans="1:12" ht="17.100000000000001" customHeight="1" x14ac:dyDescent="0.3">
      <c r="A40" s="2" t="s">
        <v>11</v>
      </c>
      <c r="B40" s="24">
        <f>SUMIFS(HicRawData[Beds HH w/o Children],
HicRawData[Project Type],$I$2,
HicRawData[Inventory Type],"C",
HicRawData[Project Type], PSH_ProjectType[[#This Row],[All Beds by Project Type]])</f>
        <v>0</v>
      </c>
      <c r="C40" s="24">
        <f>SUMIFS(HicRawData[Beds HH w/ Children],
HicRawData[Project Type],$I$2,
HicRawData[Inventory Type],"C",
HicRawData[Project Type], PSH_ProjectType[[#This Row],[All Beds by Project Type]])</f>
        <v>0</v>
      </c>
      <c r="D40" s="24">
        <f>SUMIFS(HicRawData[Beds HH w/ only Children],
HicRawData[Project Type],$I$2,
HicRawData[Inventory Type],"C",
HicRawData[Project Type], PSH_ProjectType[[#This Row],[All Beds by Project Type]])</f>
        <v>0</v>
      </c>
      <c r="E40" s="24">
        <f>SUM(PSH_ProjectType[[#This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PSH_ProjectType[[#This Row],[All Beds by Project Type]])</f>
        <v>0</v>
      </c>
      <c r="C41" s="24">
        <f>SUMIFS(HicRawData[Beds HH w/ Children],
HicRawData[Project Type],$I$2,
HicRawData[Inventory Type],"C",
HicRawData[Project Type], PSH_ProjectType[[#This Row],[All Beds by Project Type]])</f>
        <v>0</v>
      </c>
      <c r="D41" s="24">
        <f>SUMIFS(HicRawData[Beds HH w/ only Children],
HicRawData[Project Type],$I$2,
HicRawData[Inventory Type],"C",
HicRawData[Project Type], PSH_ProjectType[[#This Row],[All Beds by Project Type]])</f>
        <v>0</v>
      </c>
      <c r="E41" s="24">
        <f>SUM(PSH_ProjectType[[#This Row],[Households without Children]:[Households with only Children]])</f>
        <v>0</v>
      </c>
    </row>
    <row r="42" spans="1:12" ht="17.100000000000001" customHeight="1" x14ac:dyDescent="0.3">
      <c r="A42" s="2" t="s">
        <v>5</v>
      </c>
      <c r="B42" s="24">
        <f>SUMIFS(HicRawData[Beds HH w/o Children],
HicRawData[Project Type],$I$2,
HicRawData[Inventory Type],"C",
HicRawData[Project Type], PSH_ProjectType[[#This Row],[All Beds by Project Type]])</f>
        <v>349</v>
      </c>
      <c r="C42" s="24">
        <f>SUMIFS(HicRawData[Beds HH w/ Children],
HicRawData[Project Type],$I$2,
HicRawData[Inventory Type],"C",
HicRawData[Project Type], PSH_ProjectType[[#This Row],[All Beds by Project Type]])</f>
        <v>23</v>
      </c>
      <c r="D42" s="24">
        <f>SUMIFS(HicRawData[Beds HH w/ only Children],
HicRawData[Project Type],$I$2,
HicRawData[Inventory Type],"C",
HicRawData[Project Type], PSH_ProjectType[[#This Row],[All Beds by Project Type]])</f>
        <v>0</v>
      </c>
      <c r="E42" s="24">
        <f>SUM(PSH_ProjectType[[#This Row],[Households without Children]:[Households with only Children]])</f>
        <v>372</v>
      </c>
    </row>
    <row r="43" spans="1:12" ht="17.100000000000001" customHeight="1" x14ac:dyDescent="0.3">
      <c r="A43" s="2" t="s">
        <v>7</v>
      </c>
      <c r="B43" s="24">
        <f>SUMIFS(HicRawData[Beds HH w/o Children],
HicRawData[Project Type],$I$2,
HicRawData[Inventory Type],"C",
HicRawData[Project Type], PSH_ProjectType[[#This Row],[All Beds by Project Type]])</f>
        <v>0</v>
      </c>
      <c r="C43" s="24">
        <f>SUMIFS(HicRawData[Beds HH w/ Children],
HicRawData[Project Type],$I$2,
HicRawData[Inventory Type],"C",
HicRawData[Project Type], PSH_ProjectType[[#This Row],[All Beds by Project Type]])</f>
        <v>0</v>
      </c>
      <c r="D43" s="24">
        <f>SUMIFS(HicRawData[Beds HH w/ only Children],
HicRawData[Project Type],$I$2,
HicRawData[Inventory Type],"C",
HicRawData[Project Type], PSH_ProjectType[[#This Row],[All Beds by Project Type]])</f>
        <v>0</v>
      </c>
      <c r="E43" s="24">
        <f>SUM(PSH_ProjectType[[#This Row],[Households without Children]:[Households with only Children]])</f>
        <v>0</v>
      </c>
    </row>
    <row r="44" spans="1:12" ht="15" customHeight="1" x14ac:dyDescent="0.3">
      <c r="A44" s="2" t="s">
        <v>100</v>
      </c>
      <c r="B44" s="25">
        <f>SUBTOTAL(109,PSH_ProjectType[Households without Children])</f>
        <v>349</v>
      </c>
      <c r="C44" s="25">
        <f>SUBTOTAL(109,PSH_ProjectType[Households with Children])</f>
        <v>23</v>
      </c>
      <c r="D44" s="25">
        <f>SUBTOTAL(109,PSH_ProjectType[Households with only Children])</f>
        <v>0</v>
      </c>
      <c r="E44" s="25">
        <f>SUBTOTAL(109,PSH_ProjectType[Total Year-Round Beds])</f>
        <v>372</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PSH_ProjectTypeHmisParticipation[[#This Row],[HMIS Beds by Project Type]],
HicRawData[HMIS Participating], "Yes")</f>
        <v>0</v>
      </c>
      <c r="C47" s="24">
        <f>SUMIFS(HicRawData[Beds HH w/ Children],
HicRawData[Project Type],$I$2,
HicRawData[Inventory Type],"C",
HicRawData[Project Type], PSH_ProjectTypeHmisParticipation[[#This Row],[HMIS Beds by Project Type]],
HicRawData[HMIS Participating], "Yes")</f>
        <v>0</v>
      </c>
      <c r="D47" s="24">
        <f>SUMIFS(HicRawData[Beds HH w/ only Children],
HicRawData[Project Type],$I$2,
HicRawData[Inventory Type],"C",
HicRawData[Project Type], PSH_ProjectTypeHmisParticipation[[#This Row],[HMIS Beds by Project Type]],
HicRawData[HMIS Participating], "Yes")</f>
        <v>0</v>
      </c>
      <c r="E47" s="23">
        <f>B47+C47+D47</f>
        <v>0</v>
      </c>
    </row>
    <row r="48" spans="1:12" ht="17.100000000000001" customHeight="1" x14ac:dyDescent="0.3">
      <c r="A48" s="2" t="s">
        <v>2</v>
      </c>
      <c r="B48" s="23">
        <f>SUMIFS(HicRawData[Beds HH w/o Children],
HicRawData[Project Type],$I$2,
HicRawData[Inventory Type],"C",
HicRawData[Project Type], PSH_ProjectTypeHmisParticipation[[#This Row],[HMIS Beds by Project Type]],
HicRawData[HMIS Participating], "Yes")</f>
        <v>0</v>
      </c>
      <c r="C48" s="23">
        <f>SUMIFS(HicRawData[Beds HH w/ Children],
HicRawData[Project Type],$I$2,
HicRawData[Inventory Type],"C",
HicRawData[Project Type], PSH_ProjectTypeHmisParticipation[[#This Row],[HMIS Beds by Project Type]],
HicRawData[HMIS Participating], "Yes")</f>
        <v>0</v>
      </c>
      <c r="D48" s="23">
        <f>SUMIFS(HicRawData[Beds HH w/ only Children],
HicRawData[Project Type],$I$2,
HicRawData[Inventory Type],"C",
HicRawData[Project Type], PSH_ProjectTypeHmisParticipation[[#This Row],[HMIS Beds by Project Type]],
HicRawData[HMIS Participating], "Yes")</f>
        <v>0</v>
      </c>
      <c r="E48" s="23">
        <f t="shared" ref="E48:E52" si="0">B48+C48+D48</f>
        <v>0</v>
      </c>
    </row>
    <row r="49" spans="1:5" ht="17.100000000000001" customHeight="1" x14ac:dyDescent="0.3">
      <c r="A49" s="2" t="s">
        <v>11</v>
      </c>
      <c r="B49" s="23">
        <f>SUMIFS(HicRawData[Beds HH w/o Children],
HicRawData[Project Type],$I$2,
HicRawData[Inventory Type],"C",
HicRawData[Project Type], PSH_ProjectTypeHmisParticipation[[#This Row],[HMIS Beds by Project Type]],
HicRawData[HMIS Participating], "Yes")</f>
        <v>0</v>
      </c>
      <c r="C49" s="23">
        <f>SUMIFS(HicRawData[Beds HH w/ Children],
HicRawData[Project Type],$I$2,
HicRawData[Inventory Type],"C",
HicRawData[Project Type], PSH_ProjectTypeHmisParticipation[[#This Row],[HMIS Beds by Project Type]],
HicRawData[HMIS Participating], "Yes")</f>
        <v>0</v>
      </c>
      <c r="D49" s="23">
        <f>SUMIFS(HicRawData[Beds HH w/ only Children],
HicRawData[Project Type],$I$2,
HicRawData[Inventory Type],"C",
HicRawData[Project Type], PSH_ProjectTypeHmisParticipation[[#This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PSH_ProjectTypeHmisParticipation[[#This Row],[HMIS Beds by Project Type]],
HicRawData[HMIS Participating], "Yes")</f>
        <v>0</v>
      </c>
      <c r="C50" s="23">
        <f>SUMIFS(HicRawData[Beds HH w/ Children],
HicRawData[Project Type],$I$2,
HicRawData[Inventory Type],"C",
HicRawData[Project Type], PSH_ProjectTypeHmisParticipation[[#This Row],[HMIS Beds by Project Type]],
HicRawData[HMIS Participating], "Yes")</f>
        <v>0</v>
      </c>
      <c r="D50" s="23">
        <f>SUMIFS(HicRawData[Beds HH w/ only Children],
HicRawData[Project Type],$I$2,
HicRawData[Inventory Type],"C",
HicRawData[Project Type], PSH_ProjectTypeHmisParticipation[[#This Row],[HMIS Beds by Project Type]],
HicRawData[HMIS Participating], "Yes")</f>
        <v>0</v>
      </c>
      <c r="E50" s="23">
        <f t="shared" si="0"/>
        <v>0</v>
      </c>
    </row>
    <row r="51" spans="1:5" ht="17.100000000000001" customHeight="1" x14ac:dyDescent="0.3">
      <c r="A51" s="2" t="s">
        <v>5</v>
      </c>
      <c r="B51" s="23">
        <f>SUMIFS(HicRawData[Beds HH w/o Children],
HicRawData[Project Type],$I$2,
HicRawData[Inventory Type],"C",
HicRawData[Project Type], PSH_ProjectTypeHmisParticipation[[#This Row],[HMIS Beds by Project Type]],
HicRawData[HMIS Participating], "Yes")</f>
        <v>128</v>
      </c>
      <c r="C51" s="23">
        <f>SUMIFS(HicRawData[Beds HH w/ Children],
HicRawData[Project Type],$I$2,
HicRawData[Inventory Type],"C",
HicRawData[Project Type], PSH_ProjectTypeHmisParticipation[[#This Row],[HMIS Beds by Project Type]],
HicRawData[HMIS Participating], "Yes")</f>
        <v>23</v>
      </c>
      <c r="D51" s="23">
        <f>SUMIFS(HicRawData[Beds HH w/ only Children],
HicRawData[Project Type],$I$2,
HicRawData[Inventory Type],"C",
HicRawData[Project Type], PSH_ProjectTypeHmisParticipation[[#This Row],[HMIS Beds by Project Type]],
HicRawData[HMIS Participating], "Yes")</f>
        <v>0</v>
      </c>
      <c r="E51" s="23">
        <f t="shared" si="0"/>
        <v>151</v>
      </c>
    </row>
    <row r="52" spans="1:5" ht="17.100000000000001" customHeight="1" x14ac:dyDescent="0.3">
      <c r="A52" s="2" t="s">
        <v>7</v>
      </c>
      <c r="B52" s="23">
        <f>SUMIFS(HicRawData[Beds HH w/o Children],
HicRawData[Project Type],$I$2,
HicRawData[Inventory Type],"C",
HicRawData[Project Type], PSH_ProjectTypeHmisParticipation[[#This Row],[HMIS Beds by Project Type]],
HicRawData[HMIS Participating], "Yes")</f>
        <v>0</v>
      </c>
      <c r="C52" s="23">
        <f>SUMIFS(HicRawData[Beds HH w/ Children],
HicRawData[Project Type],$I$2,
HicRawData[Inventory Type],"C",
HicRawData[Project Type], PSH_ProjectTypeHmisParticipation[[#This Row],[HMIS Beds by Project Type]],
HicRawData[HMIS Participating], "Yes")</f>
        <v>0</v>
      </c>
      <c r="D52" s="23">
        <f>SUMIFS(HicRawData[Beds HH w/ only Children],
HicRawData[Project Type],$I$2,
HicRawData[Inventory Type],"C",
HicRawData[Project Type], PSH_ProjectTypeHmisParticipation[[#This Row],[HMIS Beds by Project Type]],
HicRawData[HMIS Participating], "Yes")</f>
        <v>0</v>
      </c>
      <c r="E52" s="23">
        <f t="shared" si="0"/>
        <v>0</v>
      </c>
    </row>
    <row r="53" spans="1:5" x14ac:dyDescent="0.3">
      <c r="A53" s="2" t="s">
        <v>100</v>
      </c>
      <c r="B53" s="26">
        <f>SUBTOTAL(109,PSH_ProjectTypeHmisParticipation[Households without Children])</f>
        <v>128</v>
      </c>
      <c r="C53" s="26">
        <f>SUBTOTAL(109,PSH_ProjectTypeHmisParticipation[Households with Children])</f>
        <v>23</v>
      </c>
      <c r="D53" s="26">
        <f>SUBTOTAL(109,PSH_ProjectTypeHmisParticipation[Households with only Children])</f>
        <v>0</v>
      </c>
      <c r="E53" s="23">
        <f>SUBTOTAL(109,PSH_ProjectTypeHmisParticipation[Total Year-Round Beds])</f>
        <v>151</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Q0Ofs/dmwIdx8X7COYqKinuGp/GusiZpek7NlLFgQNnckNkS0o1K2h3eX5l2PM8ieCjwwysvRcJjrCh6zNkxvw==" saltValue="78vtXWHQJQXeeZCfXlCtEA==" spinCount="100000" sheet="1" objects="1" scenarios="1"/>
  <conditionalFormatting sqref="A4:G4">
    <cfRule type="expression" dxfId="16"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84743-77FA-4D3B-9B8B-604031C9EC6C}">
  <sheetPr codeName="Sheet10"/>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OPH Beds Summary</v>
      </c>
      <c r="B2" s="30"/>
      <c r="C2" s="30"/>
      <c r="D2" s="30"/>
      <c r="E2" s="30"/>
      <c r="F2" s="30"/>
      <c r="G2" s="30"/>
      <c r="I2" s="33" t="s">
        <v>7</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0</v>
      </c>
      <c r="C7" s="20">
        <f>SUMIFS(HicRawData[Beds HH w/ Children],
HicRawData[Project Type],$I$2,
HicRawData[Inventory Type],"C",
HicRawData[HMIS Participating],$I7)</f>
        <v>0</v>
      </c>
      <c r="D7" s="20">
        <f>SUMIFS(HicRawData[Beds HH w/ only Children],
HicRawData[Project Type],$I$2,
HicRawData[Inventory Type],"C",
HicRawData[HMIS Participating],$I7)</f>
        <v>0</v>
      </c>
      <c r="E7" s="20">
        <f>SUM(OPH_HmisParticipation[[#This Row],[Households without Children]:[Households with only Children]])</f>
        <v>0</v>
      </c>
      <c r="I7" s="33" t="s">
        <v>9</v>
      </c>
    </row>
    <row r="8" spans="1:9" ht="17.100000000000001" customHeight="1" x14ac:dyDescent="0.3">
      <c r="A8" s="10" t="s">
        <v>108</v>
      </c>
      <c r="B8" s="20">
        <f>SUMIFS(HicRawData[Beds HH w/o Children],
HicRawData[Project Type],$I$2,
HicRawData[Inventory Type],"C",
HicRawData[HMIS Participating],$I8)</f>
        <v>0</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SUM(OPH_HmisParticipation[[#This Row],[Households without Children]:[Households with only Children]])</f>
        <v>0</v>
      </c>
      <c r="I8" s="33" t="s">
        <v>12</v>
      </c>
    </row>
    <row r="9" spans="1:9" ht="17.100000000000001" customHeight="1" x14ac:dyDescent="0.3">
      <c r="A9" s="10" t="s">
        <v>130</v>
      </c>
      <c r="B9" s="20">
        <f>SUMIFS(HicRawData[Beds HH w/o Children],
HicRawData[Project Type],$I$2,
HicRawData[Inventory Type],"C",
HicRawData[HMIS Participating],$I9)</f>
        <v>0</v>
      </c>
      <c r="C9" s="20">
        <f>SUMIFS(HicRawData[Beds HH w/ Children],
HicRawData[Project Type],$I$2,
HicRawData[Inventory Type],"C",
HicRawData[HMIS Participating],$I9)</f>
        <v>0</v>
      </c>
      <c r="D9" s="20">
        <f>SUMIFS(HicRawData[Beds HH w/ only Children],
HicRawData[Project Type],$I$2,
HicRawData[Inventory Type],"C",
HicRawData[HMIS Participating],$I9)</f>
        <v>0</v>
      </c>
      <c r="E9" s="20">
        <f>SUM(OPH_HmisParticipation[[#This Row],[Households without Children]:[Households with only Children]])</f>
        <v>0</v>
      </c>
      <c r="I9" s="33" t="s">
        <v>115</v>
      </c>
    </row>
    <row r="10" spans="1:9" ht="17.100000000000001" customHeight="1" x14ac:dyDescent="0.3">
      <c r="A10" s="2" t="s">
        <v>100</v>
      </c>
      <c r="B10" s="20">
        <f>SUBTOTAL(109,OPH_HmisParticipation[Households without Children])</f>
        <v>0</v>
      </c>
      <c r="C10" s="20">
        <f>SUBTOTAL(109,OPH_HmisParticipation[Households with Children])</f>
        <v>0</v>
      </c>
      <c r="D10" s="20">
        <f>SUBTOTAL(109,OPH_HmisParticipation[Households with only Children])</f>
        <v>0</v>
      </c>
      <c r="E10" s="20">
        <f>SUBTOTAL(109,OPH_HmisParticipation[Total Year-Round Beds])</f>
        <v>0</v>
      </c>
    </row>
    <row r="11" spans="1:9" ht="15" customHeight="1" x14ac:dyDescent="0.3">
      <c r="A11" s="4" t="s">
        <v>101</v>
      </c>
      <c r="B11" s="21" t="str">
        <f>IF(B7=0,"N/A",B7/OPH_HmisParticipation[[#Totals],[Households without Children]])</f>
        <v>N/A</v>
      </c>
      <c r="C11" s="21" t="str">
        <f>IF(C7=0,"N/A",C7/OPH_HmisParticipation[[#Totals],[Households with Children]])</f>
        <v>N/A</v>
      </c>
      <c r="D11" s="21" t="str">
        <f>IF(D7=0,"N/A",D7/OPH_HmisParticipation[[#Totals],[Households with only Children]])</f>
        <v>N/A</v>
      </c>
      <c r="E11" s="21" t="str">
        <f>IF(E7=0,"N/A",E7/OPH_HmisParticipation[[#Totals],[Total Year-Round Beds]])</f>
        <v>N/A</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0</v>
      </c>
      <c r="C14" s="20">
        <f>SUMIFS(HicRawData[Beds HH w/ Children],
HicRawData[Project Type],$I$2,
HicRawData[Inventory Type],"C",
HicRawData[HMIS Participating],$I14,
HicRawData[Victim Service Provider],0)</f>
        <v>0</v>
      </c>
      <c r="D14" s="20">
        <f>SUMIFS(HicRawData[Beds HH w/ only Children],
HicRawData[Project Type],$I$2,
HicRawData[Inventory Type],"C",
HicRawData[HMIS Participating],$I14,
HicRawData[Victim Service Provider],0)</f>
        <v>0</v>
      </c>
      <c r="E14" s="20">
        <f>SUM(OPH_NonVspHmisParticipation[[#This Row],[Households without Children]:[Households with only Children]])</f>
        <v>0</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0</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SUM(OPH_NonVspHmisParticipation[[#This Row],[Households without Children]:[Households with only Children]])</f>
        <v>0</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SUM(OPH_NonVspHmisParticipation[[#This Row],[Households without Children]:[Households with only Children]])</f>
        <v>0</v>
      </c>
      <c r="I16" s="33" t="s">
        <v>115</v>
      </c>
    </row>
    <row r="17" spans="1:9" ht="17.100000000000001" customHeight="1" x14ac:dyDescent="0.3">
      <c r="A17" s="10" t="s">
        <v>100</v>
      </c>
      <c r="B17" s="22">
        <f>SUBTOTAL(109,OPH_NonVspHmisParticipation[Households without Children])</f>
        <v>0</v>
      </c>
      <c r="C17" s="22">
        <f>SUBTOTAL(109,OPH_NonVspHmisParticipation[Households with Children])</f>
        <v>0</v>
      </c>
      <c r="D17" s="22">
        <f>SUBTOTAL(109,OPH_NonVspHmisParticipation[Households with only Children])</f>
        <v>0</v>
      </c>
      <c r="E17" s="22">
        <f>SUBTOTAL(109,OPH_NonVspHmisParticipation[Total Year-Round Beds])</f>
        <v>0</v>
      </c>
    </row>
    <row r="18" spans="1:9" ht="15" customHeight="1" x14ac:dyDescent="0.3">
      <c r="A18" s="4" t="s">
        <v>128</v>
      </c>
      <c r="B18" s="21" t="str">
        <f>IF(B14=0,"N/A",B14/OPH_NonVspHmisParticipation[[#Totals],[Households without Children]])</f>
        <v>N/A</v>
      </c>
      <c r="C18" s="21" t="str">
        <f>IF(C14=0,"N/A",C14/OPH_NonVspHmisParticipation[[#Totals],[Households with Children]])</f>
        <v>N/A</v>
      </c>
      <c r="D18" s="21" t="str">
        <f>IF(D14=0,"N/A",D14/OPH_NonVspHmisParticipation[[#Totals],[Households with only Children]])</f>
        <v>N/A</v>
      </c>
      <c r="E18" s="21" t="str">
        <f>IF(E14=0,"N/A",E14/OPH_NonVspHmisParticipation[[#Totals],[Total Year-Round Beds]])</f>
        <v>N/A</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Population],OPH_TargetPopulation[[#This Row],[Beds by Target Population]])</f>
        <v>0</v>
      </c>
      <c r="C21" s="24">
        <f>SUMIFS(HicRawData[Beds HH w/ Children],
HicRawData[Project Type],$I$2,
HicRawData[Inventory Type],"C",
HicRawData[Target Population],OPH_TargetPopulation[[#This Row],[Beds by Target Population]])</f>
        <v>0</v>
      </c>
      <c r="D21" s="24">
        <f>SUMIFS(HicRawData[Beds HH w/ only Children],
HicRawData[Project Type],$I$2,
HicRawData[Inventory Type],"C",
HicRawData[Target Population],OPH_TargetPopulation[[#This Row],[Beds by Target Population]])</f>
        <v>0</v>
      </c>
      <c r="E21" s="24">
        <f>SUM(OPH_TargetPopulation[[#This Row],[Households without Children]:[Households with only Children]])</f>
        <v>0</v>
      </c>
    </row>
    <row r="22" spans="1:9" ht="17.100000000000001" customHeight="1" x14ac:dyDescent="0.3">
      <c r="A22" s="2" t="s">
        <v>10</v>
      </c>
      <c r="B22" s="24">
        <f>SUMIFS(HicRawData[Beds HH w/o Children],
HicRawData[Project Type],$I$2,
HicRawData[Inventory Type],"C",
HicRawData[Target Population],OPH_TargetPopulation[[#This Row],[Beds by Target Population]])</f>
        <v>0</v>
      </c>
      <c r="C22" s="24">
        <f>SUMIFS(HicRawData[Beds HH w/ Children],
HicRawData[Project Type],$I$2,
HicRawData[Inventory Type],"C",
HicRawData[Target Population],OPH_TargetPopulation[[#This Row],[Beds by Target Population]])</f>
        <v>0</v>
      </c>
      <c r="D22" s="24">
        <f>SUMIFS(HicRawData[Beds HH w/ only Children],
HicRawData[Project Type],$I$2,
HicRawData[Inventory Type],"C",
HicRawData[Target Population],OPH_TargetPopulation[[#This Row],[Beds by Target Population]])</f>
        <v>0</v>
      </c>
      <c r="E22" s="24">
        <f>SUM(OPH_TargetPopulation[[#This Row],[Households without Children]:[Households with only Children]])</f>
        <v>0</v>
      </c>
    </row>
    <row r="23" spans="1:9" ht="17.100000000000001" customHeight="1" x14ac:dyDescent="0.3">
      <c r="A23" s="2" t="s">
        <v>0</v>
      </c>
      <c r="B23" s="24">
        <f>SUMIFS(HicRawData[Beds HH w/o Children],
HicRawData[Project Type],$I$2,
HicRawData[Inventory Type],"C",
HicRawData[Target Population],OPH_TargetPopulation[[#This Row],[Beds by Target Population]])</f>
        <v>0</v>
      </c>
      <c r="C23" s="24">
        <f>SUMIFS(HicRawData[Beds HH w/ Children],
HicRawData[Project Type],$I$2,
HicRawData[Inventory Type],"C",
HicRawData[Target Population],OPH_TargetPopulation[[#This Row],[Beds by Target Population]])</f>
        <v>0</v>
      </c>
      <c r="D23" s="24">
        <f>SUMIFS(HicRawData[Beds HH w/ only Children],
HicRawData[Project Type],$I$2,
HicRawData[Inventory Type],"C",
HicRawData[Target Population],OPH_TargetPopulation[[#This Row],[Beds by Target Population]])</f>
        <v>0</v>
      </c>
      <c r="E23" s="24">
        <f>SUM(OPH_TargetPopulation[[#This Row],[Households without Children]:[Households with only Children]])</f>
        <v>0</v>
      </c>
    </row>
    <row r="24" spans="1:9" ht="15" customHeight="1" x14ac:dyDescent="0.3">
      <c r="A24" s="2" t="s">
        <v>100</v>
      </c>
      <c r="B24" s="25">
        <f>SUBTOTAL(109,OPH_TargetPopulation[Households without Children])</f>
        <v>0</v>
      </c>
      <c r="C24" s="25">
        <f>SUBTOTAL(109,OPH_TargetPopulation[Households with Children])</f>
        <v>0</v>
      </c>
      <c r="D24" s="25">
        <f>SUBTOTAL(109,OPH_TargetPopulation[Households with only Children])</f>
        <v>0</v>
      </c>
      <c r="E24" s="25">
        <f>SUBTOTAL(109,OPH_TargetPopulation[Total Year-Round Beds])</f>
        <v>0</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0</v>
      </c>
      <c r="C27" s="24">
        <f>SUMIFS(HicRawData[Beds HH w/ Children],
HicRawData[Project Type],$I$2,
HicRawData[Inventory Type],$I27)</f>
        <v>0</v>
      </c>
      <c r="D27" s="24">
        <f>SUMIFS(HicRawData[Beds HH w/ only Children],
HicRawData[Project Type],$I$2,
HicRawData[Inventory Type],$I27)</f>
        <v>0</v>
      </c>
      <c r="E27" s="24">
        <f>SUM(OPH_InventoryType[[#This Row],[Households without Children]:[Households with only Children]])</f>
        <v>0</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SUM(OPH_InventoryType[[#This Row],[Households without Children]:[Households with only Children]])</f>
        <v>0</v>
      </c>
      <c r="I28" s="33" t="s">
        <v>6</v>
      </c>
    </row>
    <row r="29" spans="1:9" ht="15" customHeight="1" x14ac:dyDescent="0.3">
      <c r="A29" s="2" t="s">
        <v>100</v>
      </c>
      <c r="B29" s="25">
        <f>SUBTOTAL(109,OPH_InventoryType[Households without Children])</f>
        <v>0</v>
      </c>
      <c r="C29" s="25">
        <f>SUBTOTAL(109,OPH_InventoryType[Households with Children])</f>
        <v>0</v>
      </c>
      <c r="D29" s="25">
        <f>SUBTOTAL(109,OPH_InventoryType[Households with only Children])</f>
        <v>0</v>
      </c>
      <c r="E29" s="25">
        <f>SUBTOTAL(109,OPH_InventoryType[Total Year-Round Beds])</f>
        <v>0</v>
      </c>
    </row>
    <row r="30" spans="1:9" ht="15" customHeight="1" x14ac:dyDescent="0.3">
      <c r="B30" s="25"/>
      <c r="C30" s="25"/>
      <c r="D30" s="25"/>
      <c r="E30" s="25"/>
    </row>
    <row r="31" spans="1:9" ht="72" customHeight="1" x14ac:dyDescent="0.3">
      <c r="A31"/>
      <c r="B31"/>
      <c r="C31"/>
      <c r="D31"/>
      <c r="E31"/>
      <c r="I31" s="33" t="s">
        <v>84</v>
      </c>
    </row>
    <row r="32" spans="1:9" ht="15" customHeight="1" x14ac:dyDescent="0.3">
      <c r="A32"/>
      <c r="B32"/>
      <c r="C32"/>
      <c r="D32"/>
      <c r="E32"/>
      <c r="I32" s="33" t="s">
        <v>9</v>
      </c>
    </row>
    <row r="33" spans="1:12" ht="15" customHeight="1" x14ac:dyDescent="0.3">
      <c r="A33"/>
      <c r="B33"/>
      <c r="C33"/>
      <c r="D33"/>
      <c r="E33"/>
      <c r="F33" s="25"/>
      <c r="I33" s="33" t="s">
        <v>12</v>
      </c>
      <c r="J33" s="3"/>
    </row>
    <row r="34" spans="1:12" ht="15" customHeight="1" x14ac:dyDescent="0.3">
      <c r="A34"/>
      <c r="B34"/>
      <c r="C34"/>
      <c r="D34"/>
      <c r="E34"/>
      <c r="F34" s="25"/>
      <c r="I34" s="33" t="s">
        <v>115</v>
      </c>
      <c r="J34" s="3"/>
    </row>
    <row r="35" spans="1:12" ht="15" customHeight="1" x14ac:dyDescent="0.3">
      <c r="A35"/>
      <c r="B35"/>
      <c r="C35"/>
      <c r="D35"/>
      <c r="E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OPH_ProjectType[[#This Row],[All Beds by Project Type]])</f>
        <v>0</v>
      </c>
      <c r="C38" s="24">
        <f>SUMIFS(HicRawData[Beds HH w/ Children],
HicRawData[Project Type],$I$2,
HicRawData[Inventory Type],"C",
HicRawData[Project Type], OPH_ProjectType[[#This Row],[All Beds by Project Type]])</f>
        <v>0</v>
      </c>
      <c r="D38" s="24">
        <f>SUMIFS(HicRawData[Beds HH w/ only Children],
HicRawData[Project Type],$I$2,
HicRawData[Inventory Type],"C",
HicRawData[Project Type], OPH_ProjectType[[#This Row],[All Beds by Project Type]])</f>
        <v>0</v>
      </c>
      <c r="E38" s="24">
        <f>SUM(OPH_ProjectType[[#This Row],[Households without Children]:[Households with only Children]])</f>
        <v>0</v>
      </c>
    </row>
    <row r="39" spans="1:12" ht="17.100000000000001" customHeight="1" x14ac:dyDescent="0.3">
      <c r="A39" s="2" t="s">
        <v>2</v>
      </c>
      <c r="B39" s="24">
        <f>SUMIFS(HicRawData[Beds HH w/o Children],
HicRawData[Project Type],$I$2,
HicRawData[Inventory Type],"C",
HicRawData[Project Type], OPH_ProjectType[[#This Row],[All Beds by Project Type]])</f>
        <v>0</v>
      </c>
      <c r="C39" s="24">
        <f>SUMIFS(HicRawData[Beds HH w/ Children],
HicRawData[Project Type],$I$2,
HicRawData[Inventory Type],"C",
HicRawData[Project Type], OPH_ProjectType[[#This Row],[All Beds by Project Type]])</f>
        <v>0</v>
      </c>
      <c r="D39" s="24">
        <f>SUMIFS(HicRawData[Beds HH w/ only Children],
HicRawData[Project Type],$I$2,
HicRawData[Inventory Type],"C",
HicRawData[Project Type], OPH_ProjectType[[#This Row],[All Beds by Project Type]])</f>
        <v>0</v>
      </c>
      <c r="E39" s="24">
        <f>SUM(OPH_ProjectType[[#This Row],[Households without Children]:[Households with only Children]])</f>
        <v>0</v>
      </c>
      <c r="H39" s="6"/>
    </row>
    <row r="40" spans="1:12" ht="17.100000000000001" customHeight="1" x14ac:dyDescent="0.3">
      <c r="A40" s="2" t="s">
        <v>11</v>
      </c>
      <c r="B40" s="24">
        <f>SUMIFS(HicRawData[Beds HH w/o Children],
HicRawData[Project Type],$I$2,
HicRawData[Inventory Type],"C",
HicRawData[Project Type], OPH_ProjectType[[#This Row],[All Beds by Project Type]])</f>
        <v>0</v>
      </c>
      <c r="C40" s="24">
        <f>SUMIFS(HicRawData[Beds HH w/ Children],
HicRawData[Project Type],$I$2,
HicRawData[Inventory Type],"C",
HicRawData[Project Type], OPH_ProjectType[[#This Row],[All Beds by Project Type]])</f>
        <v>0</v>
      </c>
      <c r="D40" s="24">
        <f>SUMIFS(HicRawData[Beds HH w/ only Children],
HicRawData[Project Type],$I$2,
HicRawData[Inventory Type],"C",
HicRawData[Project Type], OPH_ProjectType[[#This Row],[All Beds by Project Type]])</f>
        <v>0</v>
      </c>
      <c r="E40" s="24">
        <f>SUM(OPH_ProjectType[[#This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OPH_ProjectType[[#This Row],[All Beds by Project Type]])</f>
        <v>0</v>
      </c>
      <c r="C41" s="24">
        <f>SUMIFS(HicRawData[Beds HH w/ Children],
HicRawData[Project Type],$I$2,
HicRawData[Inventory Type],"C",
HicRawData[Project Type], OPH_ProjectType[[#This Row],[All Beds by Project Type]])</f>
        <v>0</v>
      </c>
      <c r="D41" s="24">
        <f>SUMIFS(HicRawData[Beds HH w/ only Children],
HicRawData[Project Type],$I$2,
HicRawData[Inventory Type],"C",
HicRawData[Project Type], OPH_ProjectType[[#This Row],[All Beds by Project Type]])</f>
        <v>0</v>
      </c>
      <c r="E41" s="24">
        <f>SUM(OPH_ProjectType[[#This Row],[Households without Children]:[Households with only Children]])</f>
        <v>0</v>
      </c>
    </row>
    <row r="42" spans="1:12" ht="17.100000000000001" customHeight="1" x14ac:dyDescent="0.3">
      <c r="A42" s="2" t="s">
        <v>5</v>
      </c>
      <c r="B42" s="24">
        <f>SUMIFS(HicRawData[Beds HH w/o Children],
HicRawData[Project Type],$I$2,
HicRawData[Inventory Type],"C",
HicRawData[Project Type], OPH_ProjectType[[#This Row],[All Beds by Project Type]])</f>
        <v>0</v>
      </c>
      <c r="C42" s="24">
        <f>SUMIFS(HicRawData[Beds HH w/ Children],
HicRawData[Project Type],$I$2,
HicRawData[Inventory Type],"C",
HicRawData[Project Type], OPH_ProjectType[[#This Row],[All Beds by Project Type]])</f>
        <v>0</v>
      </c>
      <c r="D42" s="24">
        <f>SUMIFS(HicRawData[Beds HH w/ only Children],
HicRawData[Project Type],$I$2,
HicRawData[Inventory Type],"C",
HicRawData[Project Type], OPH_ProjectType[[#This Row],[All Beds by Project Type]])</f>
        <v>0</v>
      </c>
      <c r="E42" s="24">
        <f>SUM(OPH_ProjectType[[#This Row],[Households without Children]:[Households with only Children]])</f>
        <v>0</v>
      </c>
    </row>
    <row r="43" spans="1:12" ht="17.100000000000001" customHeight="1" x14ac:dyDescent="0.3">
      <c r="A43" s="2" t="s">
        <v>7</v>
      </c>
      <c r="B43" s="24">
        <f>SUMIFS(HicRawData[Beds HH w/o Children],
HicRawData[Project Type],$I$2,
HicRawData[Inventory Type],"C",
HicRawData[Project Type], OPH_ProjectType[[#This Row],[All Beds by Project Type]])</f>
        <v>0</v>
      </c>
      <c r="C43" s="24">
        <f>SUMIFS(HicRawData[Beds HH w/ Children],
HicRawData[Project Type],$I$2,
HicRawData[Inventory Type],"C",
HicRawData[Project Type], OPH_ProjectType[[#This Row],[All Beds by Project Type]])</f>
        <v>0</v>
      </c>
      <c r="D43" s="24">
        <f>SUMIFS(HicRawData[Beds HH w/ only Children],
HicRawData[Project Type],$I$2,
HicRawData[Inventory Type],"C",
HicRawData[Project Type], OPH_ProjectType[[#This Row],[All Beds by Project Type]])</f>
        <v>0</v>
      </c>
      <c r="E43" s="24">
        <f>SUM(OPH_ProjectType[[#This Row],[Households without Children]:[Households with only Children]])</f>
        <v>0</v>
      </c>
    </row>
    <row r="44" spans="1:12" ht="15" customHeight="1" x14ac:dyDescent="0.3">
      <c r="A44" s="2" t="s">
        <v>100</v>
      </c>
      <c r="B44" s="25">
        <f>SUBTOTAL(109,OPH_ProjectType[Households without Children])</f>
        <v>0</v>
      </c>
      <c r="C44" s="25">
        <f>SUBTOTAL(109,OPH_ProjectType[Households with Children])</f>
        <v>0</v>
      </c>
      <c r="D44" s="25">
        <f>SUBTOTAL(109,OPH_ProjectType[Households with only Children])</f>
        <v>0</v>
      </c>
      <c r="E44" s="25">
        <f>SUBTOTAL(109,OPH_ProjectType[Total Year-Round Beds])</f>
        <v>0</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OPH_ProjectTypeHmisParticipation[[#This Row],[HMIS Beds by Project Type]],
HicRawData[HMIS Participating], "Yes")</f>
        <v>0</v>
      </c>
      <c r="C47" s="24">
        <f>SUMIFS(HicRawData[Beds HH w/ Children],
HicRawData[Project Type],$I$2,
HicRawData[Inventory Type],"C",
HicRawData[Project Type], OPH_ProjectTypeHmisParticipation[[#This Row],[HMIS Beds by Project Type]],
HicRawData[HMIS Participating], "Yes")</f>
        <v>0</v>
      </c>
      <c r="D47" s="24">
        <f>SUMIFS(HicRawData[Beds HH w/ only Children],
HicRawData[Project Type],$I$2,
HicRawData[Inventory Type],"C",
HicRawData[Project Type], OPH_ProjectTypeHmisParticipation[[#This Row],[HMIS Beds by Project Type]],
HicRawData[HMIS Participating], "Yes")</f>
        <v>0</v>
      </c>
      <c r="E47" s="23">
        <f>B47+C47+D47</f>
        <v>0</v>
      </c>
    </row>
    <row r="48" spans="1:12" ht="17.100000000000001" customHeight="1" x14ac:dyDescent="0.3">
      <c r="A48" s="2" t="s">
        <v>2</v>
      </c>
      <c r="B48" s="23">
        <f>SUMIFS(HicRawData[Beds HH w/o Children],
HicRawData[Project Type],$I$2,
HicRawData[Inventory Type],"C",
HicRawData[Project Type], OPH_ProjectTypeHmisParticipation[[#This Row],[HMIS Beds by Project Type]],
HicRawData[HMIS Participating], "Yes")</f>
        <v>0</v>
      </c>
      <c r="C48" s="23">
        <f>SUMIFS(HicRawData[Beds HH w/ Children],
HicRawData[Project Type],$I$2,
HicRawData[Inventory Type],"C",
HicRawData[Project Type], OPH_ProjectTypeHmisParticipation[[#This Row],[HMIS Beds by Project Type]],
HicRawData[HMIS Participating], "Yes")</f>
        <v>0</v>
      </c>
      <c r="D48" s="23">
        <f>SUMIFS(HicRawData[Beds HH w/ only Children],
HicRawData[Project Type],$I$2,
HicRawData[Inventory Type],"C",
HicRawData[Project Type], OPH_ProjectTypeHmisParticipation[[#This Row],[HMIS Beds by Project Type]],
HicRawData[HMIS Participating], "Yes")</f>
        <v>0</v>
      </c>
      <c r="E48" s="23">
        <f t="shared" ref="E48:E52" si="0">B48+C48+D48</f>
        <v>0</v>
      </c>
    </row>
    <row r="49" spans="1:5" ht="17.100000000000001" customHeight="1" x14ac:dyDescent="0.3">
      <c r="A49" s="2" t="s">
        <v>11</v>
      </c>
      <c r="B49" s="23">
        <f>SUMIFS(HicRawData[Beds HH w/o Children],
HicRawData[Project Type],$I$2,
HicRawData[Inventory Type],"C",
HicRawData[Project Type], OPH_ProjectTypeHmisParticipation[[#This Row],[HMIS Beds by Project Type]],
HicRawData[HMIS Participating], "Yes")</f>
        <v>0</v>
      </c>
      <c r="C49" s="23">
        <f>SUMIFS(HicRawData[Beds HH w/ Children],
HicRawData[Project Type],$I$2,
HicRawData[Inventory Type],"C",
HicRawData[Project Type], OPH_ProjectTypeHmisParticipation[[#This Row],[HMIS Beds by Project Type]],
HicRawData[HMIS Participating], "Yes")</f>
        <v>0</v>
      </c>
      <c r="D49" s="23">
        <f>SUMIFS(HicRawData[Beds HH w/ only Children],
HicRawData[Project Type],$I$2,
HicRawData[Inventory Type],"C",
HicRawData[Project Type], OPH_ProjectTypeHmisParticipation[[#This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OPH_ProjectTypeHmisParticipation[[#This Row],[HMIS Beds by Project Type]],
HicRawData[HMIS Participating], "Yes")</f>
        <v>0</v>
      </c>
      <c r="C50" s="23">
        <f>SUMIFS(HicRawData[Beds HH w/ Children],
HicRawData[Project Type],$I$2,
HicRawData[Inventory Type],"C",
HicRawData[Project Type], OPH_ProjectTypeHmisParticipation[[#This Row],[HMIS Beds by Project Type]],
HicRawData[HMIS Participating], "Yes")</f>
        <v>0</v>
      </c>
      <c r="D50" s="23">
        <f>SUMIFS(HicRawData[Beds HH w/ only Children],
HicRawData[Project Type],$I$2,
HicRawData[Inventory Type],"C",
HicRawData[Project Type], OPH_ProjectTypeHmisParticipation[[#This Row],[HMIS Beds by Project Type]],
HicRawData[HMIS Participating], "Yes")</f>
        <v>0</v>
      </c>
      <c r="E50" s="23">
        <f t="shared" si="0"/>
        <v>0</v>
      </c>
    </row>
    <row r="51" spans="1:5" ht="17.100000000000001" customHeight="1" x14ac:dyDescent="0.3">
      <c r="A51" s="2" t="s">
        <v>5</v>
      </c>
      <c r="B51" s="23">
        <f>SUMIFS(HicRawData[Beds HH w/o Children],
HicRawData[Project Type],$I$2,
HicRawData[Inventory Type],"C",
HicRawData[Project Type], OPH_ProjectTypeHmisParticipation[[#This Row],[HMIS Beds by Project Type]],
HicRawData[HMIS Participating], "Yes")</f>
        <v>0</v>
      </c>
      <c r="C51" s="23">
        <f>SUMIFS(HicRawData[Beds HH w/ Children],
HicRawData[Project Type],$I$2,
HicRawData[Inventory Type],"C",
HicRawData[Project Type], OPH_ProjectTypeHmisParticipation[[#This Row],[HMIS Beds by Project Type]],
HicRawData[HMIS Participating], "Yes")</f>
        <v>0</v>
      </c>
      <c r="D51" s="23">
        <f>SUMIFS(HicRawData[Beds HH w/ only Children],
HicRawData[Project Type],$I$2,
HicRawData[Inventory Type],"C",
HicRawData[Project Type], OPH_ProjectTypeHmisParticipation[[#This Row],[HMIS Beds by Project Type]],
HicRawData[HMIS Participating], "Yes")</f>
        <v>0</v>
      </c>
      <c r="E51" s="23">
        <f t="shared" si="0"/>
        <v>0</v>
      </c>
    </row>
    <row r="52" spans="1:5" ht="17.100000000000001" customHeight="1" x14ac:dyDescent="0.3">
      <c r="A52" s="2" t="s">
        <v>7</v>
      </c>
      <c r="B52" s="23">
        <f>SUMIFS(HicRawData[Beds HH w/o Children],
HicRawData[Project Type],$I$2,
HicRawData[Inventory Type],"C",
HicRawData[Project Type], OPH_ProjectTypeHmisParticipation[[#This Row],[HMIS Beds by Project Type]],
HicRawData[HMIS Participating], "Yes")</f>
        <v>0</v>
      </c>
      <c r="C52" s="23">
        <f>SUMIFS(HicRawData[Beds HH w/ Children],
HicRawData[Project Type],$I$2,
HicRawData[Inventory Type],"C",
HicRawData[Project Type], OPH_ProjectTypeHmisParticipation[[#This Row],[HMIS Beds by Project Type]],
HicRawData[HMIS Participating], "Yes")</f>
        <v>0</v>
      </c>
      <c r="D52" s="23">
        <f>SUMIFS(HicRawData[Beds HH w/ only Children],
HicRawData[Project Type],$I$2,
HicRawData[Inventory Type],"C",
HicRawData[Project Type], OPH_ProjectTypeHmisParticipation[[#This Row],[HMIS Beds by Project Type]],
HicRawData[HMIS Participating], "Yes")</f>
        <v>0</v>
      </c>
      <c r="E52" s="23">
        <f t="shared" si="0"/>
        <v>0</v>
      </c>
    </row>
    <row r="53" spans="1:5" x14ac:dyDescent="0.3">
      <c r="A53" s="2" t="s">
        <v>100</v>
      </c>
      <c r="B53" s="26">
        <f>SUBTOTAL(109,OPH_ProjectTypeHmisParticipation[Households without Children])</f>
        <v>0</v>
      </c>
      <c r="C53" s="26">
        <f>SUBTOTAL(109,OPH_ProjectTypeHmisParticipation[Households with Children])</f>
        <v>0</v>
      </c>
      <c r="D53" s="26">
        <f>SUBTOTAL(109,OPH_ProjectTypeHmisParticipation[Households with only Children])</f>
        <v>0</v>
      </c>
      <c r="E53" s="23">
        <f>SUBTOTAL(109,OPH_ProjectTypeHmisParticipation[Total Year-Round Beds])</f>
        <v>0</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uiNFG26wBAIUlGGhjJJukkEbaVs1UhbXE+82nJloJFZzWKtOtKQjM8S3IMbyLnFDXxuEmMKW+S0sbydBD3uU7A==" saltValue="rEiVaI8+17Ffd75j6NwNCQ==" spinCount="100000" sheet="1" objects="1" scenarios="1"/>
  <conditionalFormatting sqref="A4:G4">
    <cfRule type="expression" dxfId="15"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7B46-B6DD-429B-9CE5-B2AE5FAA5C94}">
  <sheetPr codeName="Sheet13"/>
  <dimension ref="A1:L97"/>
  <sheetViews>
    <sheetView zoomScaleNormal="100" workbookViewId="0"/>
  </sheetViews>
  <sheetFormatPr defaultColWidth="0" defaultRowHeight="14.4" zeroHeight="1" x14ac:dyDescent="0.3"/>
  <cols>
    <col min="1" max="1" width="31.6640625" style="2" customWidth="1"/>
    <col min="2" max="7" width="16.6640625" style="2" customWidth="1"/>
    <col min="8" max="8" width="9.109375" style="2" hidden="1" customWidth="1"/>
    <col min="9" max="9" width="9.109375" style="33" hidden="1" customWidth="1"/>
    <col min="10" max="10" width="9.109375" style="2" hidden="1" customWidth="1"/>
    <col min="11" max="12" width="0" style="2" hidden="1" customWidth="1"/>
    <col min="13" max="16384" width="9.109375" style="2" hidden="1"/>
  </cols>
  <sheetData>
    <row r="1" spans="1:9" ht="21" customHeight="1" x14ac:dyDescent="0.3">
      <c r="A1" s="29" t="s">
        <v>112</v>
      </c>
      <c r="B1" s="30"/>
      <c r="C1" s="30"/>
      <c r="D1" s="30"/>
      <c r="E1" s="30"/>
      <c r="F1" s="30"/>
      <c r="G1" s="30"/>
      <c r="I1" s="33" t="s">
        <v>86</v>
      </c>
    </row>
    <row r="2" spans="1:9" ht="18" customHeight="1" x14ac:dyDescent="0.3">
      <c r="A2" s="31" t="str">
        <f>CONCATENATE(IF(I2="*","All",I2)," Beds Summary")</f>
        <v>RRH Beds Summary</v>
      </c>
      <c r="B2" s="30"/>
      <c r="C2" s="30"/>
      <c r="D2" s="30"/>
      <c r="E2" s="30"/>
      <c r="F2" s="30"/>
      <c r="G2" s="30"/>
      <c r="I2" s="33" t="s">
        <v>4</v>
      </c>
    </row>
    <row r="3" spans="1:9" ht="18" customHeight="1" x14ac:dyDescent="0.3">
      <c r="A3" s="50" t="str">
        <f ca="1">HeadingLine2</f>
        <v/>
      </c>
      <c r="G3" s="30"/>
    </row>
    <row r="4" spans="1:9" ht="18" customHeight="1" x14ac:dyDescent="0.3">
      <c r="A4" s="50" t="str">
        <f ca="1">HeadingLine3</f>
        <v>PASTE DATA INTO THE 'HicRawData' TAB TO POPULATE THIS TEMPLATE.</v>
      </c>
      <c r="G4" s="30"/>
    </row>
    <row r="5" spans="1:9" ht="15" customHeight="1" x14ac:dyDescent="0.3">
      <c r="B5" s="12"/>
      <c r="C5" s="12"/>
      <c r="D5" s="12"/>
      <c r="G5" s="14"/>
      <c r="H5" s="14"/>
    </row>
    <row r="6" spans="1:9" ht="72" customHeight="1" x14ac:dyDescent="0.3">
      <c r="A6" s="18" t="s">
        <v>102</v>
      </c>
      <c r="B6" s="18" t="s">
        <v>96</v>
      </c>
      <c r="C6" s="18" t="s">
        <v>97</v>
      </c>
      <c r="D6" s="18" t="s">
        <v>98</v>
      </c>
      <c r="E6" s="18" t="s">
        <v>99</v>
      </c>
      <c r="I6" s="33" t="s">
        <v>84</v>
      </c>
    </row>
    <row r="7" spans="1:9" ht="17.100000000000001" customHeight="1" x14ac:dyDescent="0.3">
      <c r="A7" s="10" t="s">
        <v>107</v>
      </c>
      <c r="B7" s="20">
        <f>SUMIFS(HicRawData[Beds HH w/o Children],
HicRawData[Project Type],$I$2,
HicRawData[Inventory Type],"C",
HicRawData[HMIS Participating],$I7)</f>
        <v>69</v>
      </c>
      <c r="C7" s="20">
        <f>SUMIFS(HicRawData[Beds HH w/ Children],
HicRawData[Project Type],$I$2,
HicRawData[Inventory Type],"C",
HicRawData[HMIS Participating],$I7)</f>
        <v>49</v>
      </c>
      <c r="D7" s="20">
        <f>SUMIFS(HicRawData[Beds HH w/ only Children],
HicRawData[Project Type],$I$2,
HicRawData[Inventory Type],"C",
HicRawData[HMIS Participating],$I7)</f>
        <v>0</v>
      </c>
      <c r="E7" s="20">
        <f>SUM(RRH_HmisParticipation[[#This Row],[Households without Children]:[Households with only Children]])</f>
        <v>118</v>
      </c>
      <c r="I7" s="33" t="s">
        <v>9</v>
      </c>
    </row>
    <row r="8" spans="1:9" ht="17.100000000000001" customHeight="1" x14ac:dyDescent="0.3">
      <c r="A8" s="10" t="s">
        <v>108</v>
      </c>
      <c r="B8" s="20">
        <f>SUMIFS(HicRawData[Beds HH w/o Children],
HicRawData[Project Type],$I$2,
HicRawData[Inventory Type],"C",
HicRawData[HMIS Participating],$I8)</f>
        <v>17</v>
      </c>
      <c r="C8" s="20">
        <f>SUMIFS(HicRawData[Beds HH w/ Children],
HicRawData[Project Type],$I$2,
HicRawData[Inventory Type],"C",
HicRawData[HMIS Participating],$I8)</f>
        <v>0</v>
      </c>
      <c r="D8" s="20">
        <f>SUMIFS(HicRawData[Beds HH w/ only Children],
HicRawData[Project Type],$I$2,
HicRawData[Inventory Type],"C",
HicRawData[HMIS Participating],$I8)</f>
        <v>0</v>
      </c>
      <c r="E8" s="20">
        <f>SUM(RRH_HmisParticipation[[#This Row],[Households without Children]:[Households with only Children]])</f>
        <v>17</v>
      </c>
      <c r="I8" s="33" t="s">
        <v>12</v>
      </c>
    </row>
    <row r="9" spans="1:9" ht="17.100000000000001" customHeight="1" x14ac:dyDescent="0.3">
      <c r="A9" s="10" t="s">
        <v>130</v>
      </c>
      <c r="B9" s="20">
        <f>SUMIFS(HicRawData[Beds HH w/o Children],
HicRawData[Project Type],$I$2,
HicRawData[Inventory Type],"C",
HicRawData[HMIS Participating],$I9)</f>
        <v>0</v>
      </c>
      <c r="C9" s="20">
        <f>SUMIFS(HicRawData[Beds HH w/ Children],
HicRawData[Project Type],$I$2,
HicRawData[Inventory Type],"C",
HicRawData[HMIS Participating],$I9)</f>
        <v>0</v>
      </c>
      <c r="D9" s="20">
        <f>SUMIFS(HicRawData[Beds HH w/ only Children],
HicRawData[Project Type],$I$2,
HicRawData[Inventory Type],"C",
HicRawData[HMIS Participating],$I9)</f>
        <v>0</v>
      </c>
      <c r="E9" s="20">
        <f>SUM(RRH_HmisParticipation[[#This Row],[Households without Children]:[Households with only Children]])</f>
        <v>0</v>
      </c>
      <c r="I9" s="33" t="s">
        <v>115</v>
      </c>
    </row>
    <row r="10" spans="1:9" ht="17.100000000000001" customHeight="1" x14ac:dyDescent="0.3">
      <c r="A10" s="2" t="s">
        <v>100</v>
      </c>
      <c r="B10" s="20">
        <f>SUBTOTAL(109,RRH_HmisParticipation[Households without Children])</f>
        <v>86</v>
      </c>
      <c r="C10" s="20">
        <f>SUBTOTAL(109,RRH_HmisParticipation[Households with Children])</f>
        <v>49</v>
      </c>
      <c r="D10" s="20">
        <f>SUBTOTAL(109,RRH_HmisParticipation[Households with only Children])</f>
        <v>0</v>
      </c>
      <c r="E10" s="20">
        <f>SUBTOTAL(109,RRH_HmisParticipation[Total Year-Round Beds])</f>
        <v>135</v>
      </c>
    </row>
    <row r="11" spans="1:9" ht="15" customHeight="1" x14ac:dyDescent="0.3">
      <c r="A11" s="4" t="s">
        <v>101</v>
      </c>
      <c r="B11" s="21">
        <f>IF(B7=0,"N/A",B7/RRH_HmisParticipation[[#Totals],[Households without Children]])</f>
        <v>0.80232558139534882</v>
      </c>
      <c r="C11" s="21">
        <f>IF(C7=0,"N/A",C7/RRH_HmisParticipation[[#Totals],[Households with Children]])</f>
        <v>1</v>
      </c>
      <c r="D11" s="21" t="str">
        <f>IF(D7=0,"N/A",D7/RRH_HmisParticipation[[#Totals],[Households with only Children]])</f>
        <v>N/A</v>
      </c>
      <c r="E11" s="21">
        <f>IF(E7=0,"N/A",E7/RRH_HmisParticipation[[#Totals],[Total Year-Round Beds]])</f>
        <v>0.87407407407407411</v>
      </c>
      <c r="G11" s="32"/>
    </row>
    <row r="12" spans="1:9" ht="15" customHeight="1" x14ac:dyDescent="0.3">
      <c r="A12" s="4"/>
      <c r="B12" s="5"/>
      <c r="C12" s="5"/>
      <c r="D12" s="5"/>
      <c r="E12" s="5"/>
      <c r="G12" s="32"/>
    </row>
    <row r="13" spans="1:9" ht="72" customHeight="1" x14ac:dyDescent="0.3">
      <c r="A13" s="17" t="s">
        <v>127</v>
      </c>
      <c r="B13" s="17" t="s">
        <v>96</v>
      </c>
      <c r="C13" s="17" t="s">
        <v>97</v>
      </c>
      <c r="D13" s="17" t="s">
        <v>98</v>
      </c>
      <c r="E13" s="17" t="s">
        <v>99</v>
      </c>
      <c r="I13" s="33" t="s">
        <v>84</v>
      </c>
    </row>
    <row r="14" spans="1:9" ht="17.100000000000001" customHeight="1" x14ac:dyDescent="0.3">
      <c r="A14" s="10" t="s">
        <v>113</v>
      </c>
      <c r="B14" s="20">
        <f>SUMIFS(HicRawData[Beds HH w/o Children],
HicRawData[Project Type],$I$2,
HicRawData[Inventory Type],"C",
HicRawData[HMIS Participating],$I14,
HicRawData[Victim Service Provider],0)</f>
        <v>69</v>
      </c>
      <c r="C14" s="20">
        <f>SUMIFS(HicRawData[Beds HH w/ Children],
HicRawData[Project Type],$I$2,
HicRawData[Inventory Type],"C",
HicRawData[HMIS Participating],$I14,
HicRawData[Victim Service Provider],0)</f>
        <v>49</v>
      </c>
      <c r="D14" s="20">
        <f>SUMIFS(HicRawData[Beds HH w/ only Children],
HicRawData[Project Type],$I$2,
HicRawData[Inventory Type],"C",
HicRawData[HMIS Participating],$I14,
HicRawData[Victim Service Provider],0)</f>
        <v>0</v>
      </c>
      <c r="E14" s="20">
        <f>SUM(RRH_NonVspHmisParticipation[[#This Row],[Households without Children]:[Households with only Children]])</f>
        <v>118</v>
      </c>
      <c r="I14" s="33" t="s">
        <v>9</v>
      </c>
    </row>
    <row r="15" spans="1:9" ht="17.100000000000001" customHeight="1" x14ac:dyDescent="0.3">
      <c r="A15" s="10" t="s">
        <v>114</v>
      </c>
      <c r="B15" s="20">
        <f>SUMIFS(HicRawData[Beds HH w/o Children],
HicRawData[Project Type],$I$2,
HicRawData[Inventory Type],"C",
HicRawData[HMIS Participating],$I15,
HicRawData[Victim Service Provider],0)</f>
        <v>17</v>
      </c>
      <c r="C15" s="20">
        <f>SUMIFS(HicRawData[Beds HH w/ Children],
HicRawData[Project Type],$I$2,
HicRawData[Inventory Type],"C",
HicRawData[HMIS Participating],$I15,
HicRawData[Victim Service Provider],0)</f>
        <v>0</v>
      </c>
      <c r="D15" s="20">
        <f>SUMIFS(HicRawData[Beds HH w/ only Children],
HicRawData[Project Type],$I$2,
HicRawData[Inventory Type],"C",
HicRawData[HMIS Participating],$I15,
HicRawData[Victim Service Provider],0)</f>
        <v>0</v>
      </c>
      <c r="E15" s="20">
        <f>SUM(RRH_NonVspHmisParticipation[[#This Row],[Households without Children]:[Households with only Children]])</f>
        <v>17</v>
      </c>
      <c r="I15" s="33" t="s">
        <v>12</v>
      </c>
    </row>
    <row r="16" spans="1:9" ht="17.100000000000001" customHeight="1" x14ac:dyDescent="0.3">
      <c r="A16" s="10" t="s">
        <v>129</v>
      </c>
      <c r="B16" s="20">
        <f>SUMIFS(HicRawData[Beds HH w/o Children],
HicRawData[Project Type],$I$2,
HicRawData[Inventory Type],"C",
HicRawData[HMIS Participating],$I16,
HicRawData[Victim Service Provider],0)</f>
        <v>0</v>
      </c>
      <c r="C16" s="20">
        <f>SUMIFS(HicRawData[Beds HH w/ Children],
HicRawData[Project Type],$I$2,
HicRawData[Inventory Type],"C",
HicRawData[HMIS Participating],$I16,
HicRawData[Victim Service Provider],0)</f>
        <v>0</v>
      </c>
      <c r="D16" s="20">
        <f>SUMIFS(HicRawData[Beds HH w/ only Children],
HicRawData[Project Type],$I$2,
HicRawData[Inventory Type],"C",
HicRawData[HMIS Participating],$I16,
HicRawData[Victim Service Provider],0)</f>
        <v>0</v>
      </c>
      <c r="E16" s="20">
        <f>SUM(RRH_NonVspHmisParticipation[[#This Row],[Households without Children]:[Households with only Children]])</f>
        <v>0</v>
      </c>
      <c r="I16" s="33" t="s">
        <v>115</v>
      </c>
    </row>
    <row r="17" spans="1:9" ht="17.100000000000001" customHeight="1" x14ac:dyDescent="0.3">
      <c r="A17" s="10" t="s">
        <v>100</v>
      </c>
      <c r="B17" s="22">
        <f>SUBTOTAL(109,RRH_NonVspHmisParticipation[Households without Children])</f>
        <v>86</v>
      </c>
      <c r="C17" s="22">
        <f>SUBTOTAL(109,RRH_NonVspHmisParticipation[Households with Children])</f>
        <v>49</v>
      </c>
      <c r="D17" s="22">
        <f>SUBTOTAL(109,RRH_NonVspHmisParticipation[Households with only Children])</f>
        <v>0</v>
      </c>
      <c r="E17" s="22">
        <f>SUBTOTAL(109,RRH_NonVspHmisParticipation[Total Year-Round Beds])</f>
        <v>135</v>
      </c>
    </row>
    <row r="18" spans="1:9" ht="15" customHeight="1" x14ac:dyDescent="0.3">
      <c r="A18" s="4" t="s">
        <v>128</v>
      </c>
      <c r="B18" s="21">
        <f>IF(B14=0,"N/A",B14/RRH_NonVspHmisParticipation[[#Totals],[Households without Children]])</f>
        <v>0.80232558139534882</v>
      </c>
      <c r="C18" s="21">
        <f>IF(C14=0,"N/A",C14/RRH_NonVspHmisParticipation[[#Totals],[Households with Children]])</f>
        <v>1</v>
      </c>
      <c r="D18" s="21" t="str">
        <f>IF(D14=0,"N/A",D14/RRH_NonVspHmisParticipation[[#Totals],[Households with only Children]])</f>
        <v>N/A</v>
      </c>
      <c r="E18" s="21">
        <f>IF(E14=0,"N/A",E14/RRH_NonVspHmisParticipation[[#Totals],[Total Year-Round Beds]])</f>
        <v>0.87407407407407411</v>
      </c>
    </row>
    <row r="19" spans="1:9" ht="15" customHeight="1" x14ac:dyDescent="0.3">
      <c r="A19" s="4"/>
      <c r="B19" s="19"/>
      <c r="C19" s="19"/>
      <c r="D19" s="19"/>
      <c r="E19" s="19"/>
    </row>
    <row r="20" spans="1:9" ht="72" customHeight="1" x14ac:dyDescent="0.3">
      <c r="A20" s="18" t="s">
        <v>104</v>
      </c>
      <c r="B20" s="18" t="s">
        <v>96</v>
      </c>
      <c r="C20" s="18" t="s">
        <v>97</v>
      </c>
      <c r="D20" s="18" t="s">
        <v>98</v>
      </c>
      <c r="E20" s="18" t="s">
        <v>99</v>
      </c>
      <c r="F20" s="6"/>
      <c r="H20" s="14"/>
    </row>
    <row r="21" spans="1:9" ht="17.100000000000001" customHeight="1" x14ac:dyDescent="0.3">
      <c r="A21" s="2" t="s">
        <v>8</v>
      </c>
      <c r="B21" s="24">
        <f>SUMIFS(HicRawData[Beds HH w/o Children],
HicRawData[Project Type],$I$2,
HicRawData[Inventory Type],"C",
HicRawData[Target Population],RRH_TargetPopulation[[#This Row],[Beds by Target Population]])</f>
        <v>0</v>
      </c>
      <c r="C21" s="24">
        <f>SUMIFS(HicRawData[Beds HH w/ Children],
HicRawData[Project Type],$I$2,
HicRawData[Inventory Type],"C",
HicRawData[Target Population],RRH_TargetPopulation[[#This Row],[Beds by Target Population]])</f>
        <v>0</v>
      </c>
      <c r="D21" s="24">
        <f>SUMIFS(HicRawData[Beds HH w/ only Children],
HicRawData[Project Type],$I$2,
HicRawData[Inventory Type],"C",
HicRawData[Target Population],RRH_TargetPopulation[[#This Row],[Beds by Target Population]])</f>
        <v>0</v>
      </c>
      <c r="E21" s="24">
        <f>SUM(RRH_TargetPopulation[[#This Row],[Households without Children]:[Households with only Children]])</f>
        <v>0</v>
      </c>
    </row>
    <row r="22" spans="1:9" ht="17.100000000000001" customHeight="1" x14ac:dyDescent="0.3">
      <c r="A22" s="2" t="s">
        <v>10</v>
      </c>
      <c r="B22" s="24">
        <f>SUMIFS(HicRawData[Beds HH w/o Children],
HicRawData[Project Type],$I$2,
HicRawData[Inventory Type],"C",
HicRawData[Target Population],RRH_TargetPopulation[[#This Row],[Beds by Target Population]])</f>
        <v>17</v>
      </c>
      <c r="C22" s="24">
        <f>SUMIFS(HicRawData[Beds HH w/ Children],
HicRawData[Project Type],$I$2,
HicRawData[Inventory Type],"C",
HicRawData[Target Population],RRH_TargetPopulation[[#This Row],[Beds by Target Population]])</f>
        <v>0</v>
      </c>
      <c r="D22" s="24">
        <f>SUMIFS(HicRawData[Beds HH w/ only Children],
HicRawData[Project Type],$I$2,
HicRawData[Inventory Type],"C",
HicRawData[Target Population],RRH_TargetPopulation[[#This Row],[Beds by Target Population]])</f>
        <v>0</v>
      </c>
      <c r="E22" s="24">
        <f>SUM(RRH_TargetPopulation[[#This Row],[Households without Children]:[Households with only Children]])</f>
        <v>17</v>
      </c>
    </row>
    <row r="23" spans="1:9" ht="17.100000000000001" customHeight="1" x14ac:dyDescent="0.3">
      <c r="A23" s="2" t="s">
        <v>0</v>
      </c>
      <c r="B23" s="24">
        <f>SUMIFS(HicRawData[Beds HH w/o Children],
HicRawData[Project Type],$I$2,
HicRawData[Inventory Type],"C",
HicRawData[Target Population],RRH_TargetPopulation[[#This Row],[Beds by Target Population]])</f>
        <v>69</v>
      </c>
      <c r="C23" s="24">
        <f>SUMIFS(HicRawData[Beds HH w/ Children],
HicRawData[Project Type],$I$2,
HicRawData[Inventory Type],"C",
HicRawData[Target Population],RRH_TargetPopulation[[#This Row],[Beds by Target Population]])</f>
        <v>49</v>
      </c>
      <c r="D23" s="24">
        <f>SUMIFS(HicRawData[Beds HH w/ only Children],
HicRawData[Project Type],$I$2,
HicRawData[Inventory Type],"C",
HicRawData[Target Population],RRH_TargetPopulation[[#This Row],[Beds by Target Population]])</f>
        <v>0</v>
      </c>
      <c r="E23" s="24">
        <f>SUM(RRH_TargetPopulation[[#This Row],[Households without Children]:[Households with only Children]])</f>
        <v>118</v>
      </c>
    </row>
    <row r="24" spans="1:9" ht="15" customHeight="1" x14ac:dyDescent="0.3">
      <c r="A24" s="2" t="s">
        <v>100</v>
      </c>
      <c r="B24" s="25">
        <f>SUBTOTAL(109,RRH_TargetPopulation[Households without Children])</f>
        <v>86</v>
      </c>
      <c r="C24" s="25">
        <f>SUBTOTAL(109,RRH_TargetPopulation[Households with Children])</f>
        <v>49</v>
      </c>
      <c r="D24" s="25">
        <f>SUBTOTAL(109,RRH_TargetPopulation[Households with only Children])</f>
        <v>0</v>
      </c>
      <c r="E24" s="25">
        <f>SUBTOTAL(109,RRH_TargetPopulation[Total Year-Round Beds])</f>
        <v>135</v>
      </c>
    </row>
    <row r="25" spans="1:9" ht="15" customHeight="1" x14ac:dyDescent="0.3">
      <c r="B25" s="24"/>
      <c r="C25" s="24"/>
      <c r="D25" s="24"/>
      <c r="E25" s="24"/>
    </row>
    <row r="26" spans="1:9" ht="72" customHeight="1" x14ac:dyDescent="0.3">
      <c r="A26" s="18" t="s">
        <v>103</v>
      </c>
      <c r="B26" s="18" t="s">
        <v>96</v>
      </c>
      <c r="C26" s="18" t="s">
        <v>97</v>
      </c>
      <c r="D26" s="18" t="s">
        <v>98</v>
      </c>
      <c r="E26" s="18" t="s">
        <v>99</v>
      </c>
      <c r="I26" s="33" t="s">
        <v>83</v>
      </c>
    </row>
    <row r="27" spans="1:9" ht="17.100000000000001" customHeight="1" x14ac:dyDescent="0.3">
      <c r="A27" s="2" t="s">
        <v>105</v>
      </c>
      <c r="B27" s="24">
        <f>SUMIFS(HicRawData[Beds HH w/o Children],
HicRawData[Project Type],$I$2,
HicRawData[Inventory Type],$I27)</f>
        <v>86</v>
      </c>
      <c r="C27" s="24">
        <f>SUMIFS(HicRawData[Beds HH w/ Children],
HicRawData[Project Type],$I$2,
HicRawData[Inventory Type],$I27)</f>
        <v>49</v>
      </c>
      <c r="D27" s="24">
        <f>SUMIFS(HicRawData[Beds HH w/ only Children],
HicRawData[Project Type],$I$2,
HicRawData[Inventory Type],$I27)</f>
        <v>0</v>
      </c>
      <c r="E27" s="24">
        <f>SUM(RRH_InventoryType[[#This Row],[Households without Children]:[Households with only Children]])</f>
        <v>135</v>
      </c>
      <c r="I27" s="33" t="s">
        <v>1</v>
      </c>
    </row>
    <row r="28" spans="1:9" ht="17.100000000000001" customHeight="1" x14ac:dyDescent="0.3">
      <c r="A28" s="2" t="s">
        <v>106</v>
      </c>
      <c r="B28" s="24">
        <f>SUMIFS(HicRawData[Beds HH w/o Children],
HicRawData[Project Type],$I$2,
HicRawData[Inventory Type],$I28)</f>
        <v>0</v>
      </c>
      <c r="C28" s="24">
        <f>SUMIFS(HicRawData[Beds HH w/ Children],
HicRawData[Project Type],$I$2,
HicRawData[Inventory Type],$I28)</f>
        <v>0</v>
      </c>
      <c r="D28" s="24">
        <f>SUMIFS(HicRawData[Beds HH w/ only Children],
HicRawData[Project Type],$I$2,
HicRawData[Inventory Type],$I28)</f>
        <v>0</v>
      </c>
      <c r="E28" s="24">
        <f>SUM(RRH_InventoryType[[#This Row],[Households without Children]:[Households with only Children]])</f>
        <v>0</v>
      </c>
      <c r="I28" s="33" t="s">
        <v>6</v>
      </c>
    </row>
    <row r="29" spans="1:9" ht="15" customHeight="1" x14ac:dyDescent="0.3">
      <c r="A29" s="2" t="s">
        <v>100</v>
      </c>
      <c r="B29" s="25">
        <f>SUBTOTAL(109,RRH_InventoryType[Households without Children])</f>
        <v>86</v>
      </c>
      <c r="C29" s="25">
        <f>SUBTOTAL(109,RRH_InventoryType[Households with Children])</f>
        <v>49</v>
      </c>
      <c r="D29" s="25">
        <f>SUBTOTAL(109,RRH_InventoryType[Households with only Children])</f>
        <v>0</v>
      </c>
      <c r="E29" s="25">
        <f>SUBTOTAL(109,RRH_InventoryType[Total Year-Round Beds])</f>
        <v>135</v>
      </c>
    </row>
    <row r="30" spans="1:9" ht="15" customHeight="1" x14ac:dyDescent="0.3">
      <c r="B30" s="25"/>
      <c r="C30" s="25"/>
      <c r="D30" s="25"/>
      <c r="E30" s="25"/>
    </row>
    <row r="31" spans="1:9" ht="72" customHeight="1" x14ac:dyDescent="0.3">
      <c r="A31"/>
      <c r="B31"/>
      <c r="C31"/>
      <c r="D31"/>
      <c r="E31"/>
      <c r="I31" s="33" t="s">
        <v>84</v>
      </c>
    </row>
    <row r="32" spans="1:9" ht="15" customHeight="1" x14ac:dyDescent="0.3">
      <c r="A32"/>
      <c r="B32"/>
      <c r="C32"/>
      <c r="D32"/>
      <c r="E32"/>
      <c r="I32" s="33" t="s">
        <v>9</v>
      </c>
    </row>
    <row r="33" spans="1:12" ht="15" customHeight="1" x14ac:dyDescent="0.3">
      <c r="A33"/>
      <c r="B33"/>
      <c r="C33"/>
      <c r="D33"/>
      <c r="E33"/>
      <c r="F33" s="25"/>
      <c r="I33" s="33" t="s">
        <v>12</v>
      </c>
      <c r="J33" s="3"/>
    </row>
    <row r="34" spans="1:12" ht="15" customHeight="1" x14ac:dyDescent="0.3">
      <c r="A34"/>
      <c r="B34"/>
      <c r="C34"/>
      <c r="D34"/>
      <c r="E34"/>
      <c r="F34" s="25"/>
      <c r="I34" s="33" t="s">
        <v>115</v>
      </c>
      <c r="J34" s="3"/>
    </row>
    <row r="35" spans="1:12" ht="15" customHeight="1" x14ac:dyDescent="0.3">
      <c r="A35"/>
      <c r="B35"/>
      <c r="C35"/>
      <c r="D35"/>
      <c r="E35"/>
    </row>
    <row r="36" spans="1:12" ht="15" customHeight="1" x14ac:dyDescent="0.3">
      <c r="B36" s="25"/>
      <c r="C36" s="25"/>
      <c r="D36" s="25"/>
      <c r="E36" s="25"/>
    </row>
    <row r="37" spans="1:12" ht="72" customHeight="1" x14ac:dyDescent="0.3">
      <c r="A37" s="18" t="s">
        <v>124</v>
      </c>
      <c r="B37" s="18" t="s">
        <v>96</v>
      </c>
      <c r="C37" s="18" t="s">
        <v>97</v>
      </c>
      <c r="D37" s="18" t="s">
        <v>98</v>
      </c>
      <c r="E37" s="18" t="s">
        <v>99</v>
      </c>
      <c r="F37" s="14"/>
    </row>
    <row r="38" spans="1:12" ht="17.100000000000001" customHeight="1" x14ac:dyDescent="0.3">
      <c r="A38" s="2" t="s">
        <v>3</v>
      </c>
      <c r="B38" s="24">
        <f>SUMIFS(HicRawData[Beds HH w/o Children],
HicRawData[Project Type],$I$2,
HicRawData[Inventory Type],"C",
HicRawData[Project Type], RRH_ProjectType[[#This Row],[All Beds by Project Type]])</f>
        <v>0</v>
      </c>
      <c r="C38" s="24">
        <f>SUMIFS(HicRawData[Beds HH w/ Children],
HicRawData[Project Type],$I$2,
HicRawData[Inventory Type],"C",
HicRawData[Project Type], RRH_ProjectType[[#This Row],[All Beds by Project Type]])</f>
        <v>0</v>
      </c>
      <c r="D38" s="24">
        <f>SUMIFS(HicRawData[Beds HH w/ only Children],
HicRawData[Project Type],$I$2,
HicRawData[Inventory Type],"C",
HicRawData[Project Type], RRH_ProjectType[[#This Row],[All Beds by Project Type]])</f>
        <v>0</v>
      </c>
      <c r="E38" s="24">
        <f>SUM(RRH_ProjectType[[#This Row],[Households without Children]:[Households with only Children]])</f>
        <v>0</v>
      </c>
    </row>
    <row r="39" spans="1:12" ht="17.100000000000001" customHeight="1" x14ac:dyDescent="0.3">
      <c r="A39" s="2" t="s">
        <v>2</v>
      </c>
      <c r="B39" s="24">
        <f>SUMIFS(HicRawData[Beds HH w/o Children],
HicRawData[Project Type],$I$2,
HicRawData[Inventory Type],"C",
HicRawData[Project Type], RRH_ProjectType[[#This Row],[All Beds by Project Type]])</f>
        <v>0</v>
      </c>
      <c r="C39" s="24">
        <f>SUMIFS(HicRawData[Beds HH w/ Children],
HicRawData[Project Type],$I$2,
HicRawData[Inventory Type],"C",
HicRawData[Project Type], RRH_ProjectType[[#This Row],[All Beds by Project Type]])</f>
        <v>0</v>
      </c>
      <c r="D39" s="24">
        <f>SUMIFS(HicRawData[Beds HH w/ only Children],
HicRawData[Project Type],$I$2,
HicRawData[Inventory Type],"C",
HicRawData[Project Type], RRH_ProjectType[[#This Row],[All Beds by Project Type]])</f>
        <v>0</v>
      </c>
      <c r="E39" s="24">
        <f>SUM(RRH_ProjectType[[#This Row],[Households without Children]:[Households with only Children]])</f>
        <v>0</v>
      </c>
      <c r="H39" s="6"/>
    </row>
    <row r="40" spans="1:12" ht="17.100000000000001" customHeight="1" x14ac:dyDescent="0.3">
      <c r="A40" s="2" t="s">
        <v>11</v>
      </c>
      <c r="B40" s="24">
        <f>SUMIFS(HicRawData[Beds HH w/o Children],
HicRawData[Project Type],$I$2,
HicRawData[Inventory Type],"C",
HicRawData[Project Type], RRH_ProjectType[[#This Row],[All Beds by Project Type]])</f>
        <v>0</v>
      </c>
      <c r="C40" s="24">
        <f>SUMIFS(HicRawData[Beds HH w/ Children],
HicRawData[Project Type],$I$2,
HicRawData[Inventory Type],"C",
HicRawData[Project Type], RRH_ProjectType[[#This Row],[All Beds by Project Type]])</f>
        <v>0</v>
      </c>
      <c r="D40" s="24">
        <f>SUMIFS(HicRawData[Beds HH w/ only Children],
HicRawData[Project Type],$I$2,
HicRawData[Inventory Type],"C",
HicRawData[Project Type], RRH_ProjectType[[#This Row],[All Beds by Project Type]])</f>
        <v>0</v>
      </c>
      <c r="E40" s="24">
        <f>SUM(RRH_ProjectType[[#This Row],[Households without Children]:[Households with only Children]])</f>
        <v>0</v>
      </c>
      <c r="H40" s="6"/>
    </row>
    <row r="41" spans="1:12" ht="17.100000000000001" customHeight="1" x14ac:dyDescent="0.3">
      <c r="A41" s="2" t="s">
        <v>4</v>
      </c>
      <c r="B41" s="24">
        <f>SUMIFS(HicRawData[Beds HH w/o Children],
HicRawData[Project Type],$I$2,
HicRawData[Inventory Type],"C",
HicRawData[Project Type], RRH_ProjectType[[#This Row],[All Beds by Project Type]])</f>
        <v>86</v>
      </c>
      <c r="C41" s="24">
        <f>SUMIFS(HicRawData[Beds HH w/ Children],
HicRawData[Project Type],$I$2,
HicRawData[Inventory Type],"C",
HicRawData[Project Type], RRH_ProjectType[[#This Row],[All Beds by Project Type]])</f>
        <v>49</v>
      </c>
      <c r="D41" s="24">
        <f>SUMIFS(HicRawData[Beds HH w/ only Children],
HicRawData[Project Type],$I$2,
HicRawData[Inventory Type],"C",
HicRawData[Project Type], RRH_ProjectType[[#This Row],[All Beds by Project Type]])</f>
        <v>0</v>
      </c>
      <c r="E41" s="24">
        <f>SUM(RRH_ProjectType[[#This Row],[Households without Children]:[Households with only Children]])</f>
        <v>135</v>
      </c>
    </row>
    <row r="42" spans="1:12" ht="17.100000000000001" customHeight="1" x14ac:dyDescent="0.3">
      <c r="A42" s="2" t="s">
        <v>5</v>
      </c>
      <c r="B42" s="24">
        <f>SUMIFS(HicRawData[Beds HH w/o Children],
HicRawData[Project Type],$I$2,
HicRawData[Inventory Type],"C",
HicRawData[Project Type], RRH_ProjectType[[#This Row],[All Beds by Project Type]])</f>
        <v>0</v>
      </c>
      <c r="C42" s="24">
        <f>SUMIFS(HicRawData[Beds HH w/ Children],
HicRawData[Project Type],$I$2,
HicRawData[Inventory Type],"C",
HicRawData[Project Type], RRH_ProjectType[[#This Row],[All Beds by Project Type]])</f>
        <v>0</v>
      </c>
      <c r="D42" s="24">
        <f>SUMIFS(HicRawData[Beds HH w/ only Children],
HicRawData[Project Type],$I$2,
HicRawData[Inventory Type],"C",
HicRawData[Project Type], RRH_ProjectType[[#This Row],[All Beds by Project Type]])</f>
        <v>0</v>
      </c>
      <c r="E42" s="24">
        <f>SUM(RRH_ProjectType[[#This Row],[Households without Children]:[Households with only Children]])</f>
        <v>0</v>
      </c>
    </row>
    <row r="43" spans="1:12" ht="17.100000000000001" customHeight="1" x14ac:dyDescent="0.3">
      <c r="A43" s="2" t="s">
        <v>7</v>
      </c>
      <c r="B43" s="24">
        <f>SUMIFS(HicRawData[Beds HH w/o Children],
HicRawData[Project Type],$I$2,
HicRawData[Inventory Type],"C",
HicRawData[Project Type], RRH_ProjectType[[#This Row],[All Beds by Project Type]])</f>
        <v>0</v>
      </c>
      <c r="C43" s="24">
        <f>SUMIFS(HicRawData[Beds HH w/ Children],
HicRawData[Project Type],$I$2,
HicRawData[Inventory Type],"C",
HicRawData[Project Type], RRH_ProjectType[[#This Row],[All Beds by Project Type]])</f>
        <v>0</v>
      </c>
      <c r="D43" s="24">
        <f>SUMIFS(HicRawData[Beds HH w/ only Children],
HicRawData[Project Type],$I$2,
HicRawData[Inventory Type],"C",
HicRawData[Project Type], RRH_ProjectType[[#This Row],[All Beds by Project Type]])</f>
        <v>0</v>
      </c>
      <c r="E43" s="24">
        <f>SUM(RRH_ProjectType[[#This Row],[Households without Children]:[Households with only Children]])</f>
        <v>0</v>
      </c>
    </row>
    <row r="44" spans="1:12" ht="15" customHeight="1" x14ac:dyDescent="0.3">
      <c r="A44" s="2" t="s">
        <v>100</v>
      </c>
      <c r="B44" s="25">
        <f>SUBTOTAL(109,RRH_ProjectType[Households without Children])</f>
        <v>86</v>
      </c>
      <c r="C44" s="25">
        <f>SUBTOTAL(109,RRH_ProjectType[Households with Children])</f>
        <v>49</v>
      </c>
      <c r="D44" s="25">
        <f>SUBTOTAL(109,RRH_ProjectType[Households with only Children])</f>
        <v>0</v>
      </c>
      <c r="E44" s="25">
        <f>SUBTOTAL(109,RRH_ProjectType[Total Year-Round Beds])</f>
        <v>135</v>
      </c>
    </row>
    <row r="45" spans="1:12" ht="15" customHeight="1" x14ac:dyDescent="0.3">
      <c r="B45" s="25"/>
      <c r="C45" s="25"/>
      <c r="D45" s="25"/>
      <c r="E45" s="25"/>
    </row>
    <row r="46" spans="1:12" ht="72" customHeight="1" x14ac:dyDescent="0.3">
      <c r="A46" s="18" t="s">
        <v>125</v>
      </c>
      <c r="B46" s="18" t="s">
        <v>96</v>
      </c>
      <c r="C46" s="18" t="s">
        <v>97</v>
      </c>
      <c r="D46" s="18" t="s">
        <v>98</v>
      </c>
      <c r="E46" s="18" t="s">
        <v>99</v>
      </c>
      <c r="J46" s="12"/>
      <c r="K46" s="12"/>
      <c r="L46" s="12"/>
    </row>
    <row r="47" spans="1:12" ht="17.100000000000001" customHeight="1" x14ac:dyDescent="0.3">
      <c r="A47" s="2" t="s">
        <v>3</v>
      </c>
      <c r="B47" s="24">
        <f>SUMIFS(HicRawData[Beds HH w/o Children],
HicRawData[Project Type],$I$2,
HicRawData[Inventory Type],"C",
HicRawData[Project Type], RRH_ProjectTypeHmisParticipation[[#This Row],[HMIS Beds by Project Type]],
HicRawData[HMIS Participating], "Yes")</f>
        <v>0</v>
      </c>
      <c r="C47" s="24">
        <f>SUMIFS(HicRawData[Beds HH w/ Children],
HicRawData[Project Type],$I$2,
HicRawData[Inventory Type],"C",
HicRawData[Project Type], RRH_ProjectTypeHmisParticipation[[#This Row],[HMIS Beds by Project Type]],
HicRawData[HMIS Participating], "Yes")</f>
        <v>0</v>
      </c>
      <c r="D47" s="24">
        <f>SUMIFS(HicRawData[Beds HH w/ only Children],
HicRawData[Project Type],$I$2,
HicRawData[Inventory Type],"C",
HicRawData[Project Type], RRH_ProjectTypeHmisParticipation[[#This Row],[HMIS Beds by Project Type]],
HicRawData[HMIS Participating], "Yes")</f>
        <v>0</v>
      </c>
      <c r="E47" s="23">
        <f>B47+C47+D47</f>
        <v>0</v>
      </c>
    </row>
    <row r="48" spans="1:12" ht="17.100000000000001" customHeight="1" x14ac:dyDescent="0.3">
      <c r="A48" s="2" t="s">
        <v>2</v>
      </c>
      <c r="B48" s="23">
        <f>SUMIFS(HicRawData[Beds HH w/o Children],
HicRawData[Project Type],$I$2,
HicRawData[Inventory Type],"C",
HicRawData[Project Type], RRH_ProjectTypeHmisParticipation[[#This Row],[HMIS Beds by Project Type]],
HicRawData[HMIS Participating], "Yes")</f>
        <v>0</v>
      </c>
      <c r="C48" s="23">
        <f>SUMIFS(HicRawData[Beds HH w/ Children],
HicRawData[Project Type],$I$2,
HicRawData[Inventory Type],"C",
HicRawData[Project Type], RRH_ProjectTypeHmisParticipation[[#This Row],[HMIS Beds by Project Type]],
HicRawData[HMIS Participating], "Yes")</f>
        <v>0</v>
      </c>
      <c r="D48" s="23">
        <f>SUMIFS(HicRawData[Beds HH w/ only Children],
HicRawData[Project Type],$I$2,
HicRawData[Inventory Type],"C",
HicRawData[Project Type], RRH_ProjectTypeHmisParticipation[[#This Row],[HMIS Beds by Project Type]],
HicRawData[HMIS Participating], "Yes")</f>
        <v>0</v>
      </c>
      <c r="E48" s="23">
        <f t="shared" ref="E48:E52" si="0">B48+C48+D48</f>
        <v>0</v>
      </c>
    </row>
    <row r="49" spans="1:5" ht="17.100000000000001" customHeight="1" x14ac:dyDescent="0.3">
      <c r="A49" s="2" t="s">
        <v>11</v>
      </c>
      <c r="B49" s="23">
        <f>SUMIFS(HicRawData[Beds HH w/o Children],
HicRawData[Project Type],$I$2,
HicRawData[Inventory Type],"C",
HicRawData[Project Type], RRH_ProjectTypeHmisParticipation[[#This Row],[HMIS Beds by Project Type]],
HicRawData[HMIS Participating], "Yes")</f>
        <v>0</v>
      </c>
      <c r="C49" s="23">
        <f>SUMIFS(HicRawData[Beds HH w/ Children],
HicRawData[Project Type],$I$2,
HicRawData[Inventory Type],"C",
HicRawData[Project Type], RRH_ProjectTypeHmisParticipation[[#This Row],[HMIS Beds by Project Type]],
HicRawData[HMIS Participating], "Yes")</f>
        <v>0</v>
      </c>
      <c r="D49" s="23">
        <f>SUMIFS(HicRawData[Beds HH w/ only Children],
HicRawData[Project Type],$I$2,
HicRawData[Inventory Type],"C",
HicRawData[Project Type], RRH_ProjectTypeHmisParticipation[[#This Row],[HMIS Beds by Project Type]],
HicRawData[HMIS Participating], "Yes")</f>
        <v>0</v>
      </c>
      <c r="E49" s="23">
        <f t="shared" si="0"/>
        <v>0</v>
      </c>
    </row>
    <row r="50" spans="1:5" ht="17.100000000000001" customHeight="1" x14ac:dyDescent="0.3">
      <c r="A50" s="2" t="s">
        <v>4</v>
      </c>
      <c r="B50" s="23">
        <f>SUMIFS(HicRawData[Beds HH w/o Children],
HicRawData[Project Type],$I$2,
HicRawData[Inventory Type],"C",
HicRawData[Project Type], RRH_ProjectTypeHmisParticipation[[#This Row],[HMIS Beds by Project Type]],
HicRawData[HMIS Participating], "Yes")</f>
        <v>69</v>
      </c>
      <c r="C50" s="23">
        <f>SUMIFS(HicRawData[Beds HH w/ Children],
HicRawData[Project Type],$I$2,
HicRawData[Inventory Type],"C",
HicRawData[Project Type], RRH_ProjectTypeHmisParticipation[[#This Row],[HMIS Beds by Project Type]],
HicRawData[HMIS Participating], "Yes")</f>
        <v>49</v>
      </c>
      <c r="D50" s="23">
        <f>SUMIFS(HicRawData[Beds HH w/ only Children],
HicRawData[Project Type],$I$2,
HicRawData[Inventory Type],"C",
HicRawData[Project Type], RRH_ProjectTypeHmisParticipation[[#This Row],[HMIS Beds by Project Type]],
HicRawData[HMIS Participating], "Yes")</f>
        <v>0</v>
      </c>
      <c r="E50" s="23">
        <f t="shared" si="0"/>
        <v>118</v>
      </c>
    </row>
    <row r="51" spans="1:5" ht="17.100000000000001" customHeight="1" x14ac:dyDescent="0.3">
      <c r="A51" s="2" t="s">
        <v>5</v>
      </c>
      <c r="B51" s="23">
        <f>SUMIFS(HicRawData[Beds HH w/o Children],
HicRawData[Project Type],$I$2,
HicRawData[Inventory Type],"C",
HicRawData[Project Type], RRH_ProjectTypeHmisParticipation[[#This Row],[HMIS Beds by Project Type]],
HicRawData[HMIS Participating], "Yes")</f>
        <v>0</v>
      </c>
      <c r="C51" s="23">
        <f>SUMIFS(HicRawData[Beds HH w/ Children],
HicRawData[Project Type],$I$2,
HicRawData[Inventory Type],"C",
HicRawData[Project Type], RRH_ProjectTypeHmisParticipation[[#This Row],[HMIS Beds by Project Type]],
HicRawData[HMIS Participating], "Yes")</f>
        <v>0</v>
      </c>
      <c r="D51" s="23">
        <f>SUMIFS(HicRawData[Beds HH w/ only Children],
HicRawData[Project Type],$I$2,
HicRawData[Inventory Type],"C",
HicRawData[Project Type], RRH_ProjectTypeHmisParticipation[[#This Row],[HMIS Beds by Project Type]],
HicRawData[HMIS Participating], "Yes")</f>
        <v>0</v>
      </c>
      <c r="E51" s="23">
        <f t="shared" si="0"/>
        <v>0</v>
      </c>
    </row>
    <row r="52" spans="1:5" ht="17.100000000000001" customHeight="1" x14ac:dyDescent="0.3">
      <c r="A52" s="2" t="s">
        <v>7</v>
      </c>
      <c r="B52" s="23">
        <f>SUMIFS(HicRawData[Beds HH w/o Children],
HicRawData[Project Type],$I$2,
HicRawData[Inventory Type],"C",
HicRawData[Project Type], RRH_ProjectTypeHmisParticipation[[#This Row],[HMIS Beds by Project Type]],
HicRawData[HMIS Participating], "Yes")</f>
        <v>0</v>
      </c>
      <c r="C52" s="23">
        <f>SUMIFS(HicRawData[Beds HH w/ Children],
HicRawData[Project Type],$I$2,
HicRawData[Inventory Type],"C",
HicRawData[Project Type], RRH_ProjectTypeHmisParticipation[[#This Row],[HMIS Beds by Project Type]],
HicRawData[HMIS Participating], "Yes")</f>
        <v>0</v>
      </c>
      <c r="D52" s="23">
        <f>SUMIFS(HicRawData[Beds HH w/ only Children],
HicRawData[Project Type],$I$2,
HicRawData[Inventory Type],"C",
HicRawData[Project Type], RRH_ProjectTypeHmisParticipation[[#This Row],[HMIS Beds by Project Type]],
HicRawData[HMIS Participating], "Yes")</f>
        <v>0</v>
      </c>
      <c r="E52" s="23">
        <f t="shared" si="0"/>
        <v>0</v>
      </c>
    </row>
    <row r="53" spans="1:5" x14ac:dyDescent="0.3">
      <c r="A53" s="2" t="s">
        <v>100</v>
      </c>
      <c r="B53" s="26">
        <f>SUBTOTAL(109,RRH_ProjectTypeHmisParticipation[Households without Children])</f>
        <v>69</v>
      </c>
      <c r="C53" s="26">
        <f>SUBTOTAL(109,RRH_ProjectTypeHmisParticipation[Households with Children])</f>
        <v>49</v>
      </c>
      <c r="D53" s="26">
        <f>SUBTOTAL(109,RRH_ProjectTypeHmisParticipation[Households with only Children])</f>
        <v>0</v>
      </c>
      <c r="E53" s="23">
        <f>SUBTOTAL(109,RRH_ProjectTypeHmisParticipation[Total Year-Round Beds])</f>
        <v>118</v>
      </c>
    </row>
    <row r="54" spans="1:5" x14ac:dyDescent="0.3"/>
    <row r="55" spans="1:5" x14ac:dyDescent="0.3"/>
    <row r="56" spans="1:5" x14ac:dyDescent="0.3"/>
    <row r="57" spans="1:5" x14ac:dyDescent="0.3"/>
    <row r="58" spans="1:5" x14ac:dyDescent="0.3"/>
    <row r="59" spans="1:5" x14ac:dyDescent="0.3">
      <c r="A59" s="6"/>
      <c r="B59" s="7"/>
      <c r="C59" s="7"/>
      <c r="D59" s="7"/>
      <c r="E59" s="7"/>
    </row>
    <row r="60" spans="1:5" x14ac:dyDescent="0.3">
      <c r="A60" s="10"/>
      <c r="B60" s="11"/>
    </row>
    <row r="61" spans="1:5" x14ac:dyDescent="0.3">
      <c r="A61" s="10"/>
      <c r="B61" s="11"/>
    </row>
    <row r="62" spans="1:5" x14ac:dyDescent="0.3">
      <c r="A62" s="10"/>
      <c r="B62" s="11"/>
    </row>
    <row r="63" spans="1:5" x14ac:dyDescent="0.3">
      <c r="A63" s="10"/>
      <c r="B63" s="11"/>
    </row>
    <row r="64" spans="1:5" x14ac:dyDescent="0.3">
      <c r="A64" s="10"/>
    </row>
    <row r="65" spans="1:5" x14ac:dyDescent="0.3">
      <c r="A65" s="10"/>
    </row>
    <row r="66" spans="1:5" x14ac:dyDescent="0.3">
      <c r="A66" s="10"/>
    </row>
    <row r="67" spans="1:5" x14ac:dyDescent="0.3">
      <c r="A67" s="11"/>
      <c r="E67" s="12"/>
    </row>
    <row r="68" spans="1:5" x14ac:dyDescent="0.3">
      <c r="A68" s="10"/>
    </row>
    <row r="69" spans="1:5" x14ac:dyDescent="0.3"/>
    <row r="70" spans="1:5" x14ac:dyDescent="0.3">
      <c r="A70" s="11"/>
    </row>
    <row r="71" spans="1:5" x14ac:dyDescent="0.3">
      <c r="A71" s="13"/>
    </row>
    <row r="72" spans="1:5" x14ac:dyDescent="0.3">
      <c r="A72" s="11"/>
    </row>
    <row r="73" spans="1:5" x14ac:dyDescent="0.3">
      <c r="A73" s="11"/>
    </row>
    <row r="74" spans="1:5" hidden="1" x14ac:dyDescent="0.3">
      <c r="A74" s="11"/>
    </row>
    <row r="75" spans="1:5" hidden="1" x14ac:dyDescent="0.3">
      <c r="A75" s="11"/>
    </row>
    <row r="76" spans="1:5" hidden="1" x14ac:dyDescent="0.3">
      <c r="A76" s="11"/>
    </row>
    <row r="77" spans="1:5" hidden="1" x14ac:dyDescent="0.3">
      <c r="A77" s="11"/>
    </row>
    <row r="81" spans="1:1" hidden="1" x14ac:dyDescent="0.3">
      <c r="A81" s="14"/>
    </row>
    <row r="82" spans="1:1" hidden="1" x14ac:dyDescent="0.3">
      <c r="A82" s="6"/>
    </row>
    <row r="83" spans="1:1" hidden="1" x14ac:dyDescent="0.3">
      <c r="A83" s="11"/>
    </row>
    <row r="84" spans="1:1" hidden="1" x14ac:dyDescent="0.3">
      <c r="A84" s="11"/>
    </row>
    <row r="85" spans="1:1" hidden="1" x14ac:dyDescent="0.3">
      <c r="A85" s="11"/>
    </row>
    <row r="86" spans="1:1" hidden="1" x14ac:dyDescent="0.3">
      <c r="A86" s="11"/>
    </row>
    <row r="87" spans="1:1" hidden="1" x14ac:dyDescent="0.3">
      <c r="A87" s="11"/>
    </row>
    <row r="88" spans="1:1" hidden="1" x14ac:dyDescent="0.3">
      <c r="A88" s="11"/>
    </row>
    <row r="89" spans="1:1" hidden="1" x14ac:dyDescent="0.3">
      <c r="A89" s="13"/>
    </row>
    <row r="90" spans="1:1" hidden="1" x14ac:dyDescent="0.3">
      <c r="A90" s="11"/>
    </row>
    <row r="91" spans="1:1" hidden="1" x14ac:dyDescent="0.3">
      <c r="A91" s="13"/>
    </row>
    <row r="92" spans="1:1" hidden="1" x14ac:dyDescent="0.3">
      <c r="A92" s="11"/>
    </row>
    <row r="93" spans="1:1" hidden="1" x14ac:dyDescent="0.3">
      <c r="A93" s="11"/>
    </row>
    <row r="94" spans="1:1" hidden="1" x14ac:dyDescent="0.3">
      <c r="A94" s="11"/>
    </row>
    <row r="95" spans="1:1" hidden="1" x14ac:dyDescent="0.3">
      <c r="A95" s="11"/>
    </row>
    <row r="96" spans="1:1" hidden="1" x14ac:dyDescent="0.3">
      <c r="A96" s="11"/>
    </row>
    <row r="97" spans="1:1" hidden="1" x14ac:dyDescent="0.3">
      <c r="A97" s="11"/>
    </row>
  </sheetData>
  <sheetProtection algorithmName="SHA-512" hashValue="qUTUntt2HkJq5yu53pejaVAeKvWwCgJ+VWSdOJTDOv8+S7Se3zHNP8tIHwMUqPa9SKtI7YfsLuTYc2hFxIwo9w==" saltValue="e/OVv1rUkIfwdxhFvZdwVg==" spinCount="100000" sheet="1" objects="1" scenarios="1"/>
  <conditionalFormatting sqref="A4:G4">
    <cfRule type="expression" dxfId="14"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fad6c9-0d8a-4f08-b363-fe79249bc20d">
      <Terms xmlns="http://schemas.microsoft.com/office/infopath/2007/PartnerControls"/>
    </lcf76f155ced4ddcb4097134ff3c332f>
    <TaxCatchAll xmlns="e422c799-4dbb-4704-9bc4-2b14a9e15e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FD19B331B6154F98DDF9D6E590EC91" ma:contentTypeVersion="17" ma:contentTypeDescription="Create a new document." ma:contentTypeScope="" ma:versionID="c39676000deda965a711f101ed4f2b19">
  <xsd:schema xmlns:xsd="http://www.w3.org/2001/XMLSchema" xmlns:xs="http://www.w3.org/2001/XMLSchema" xmlns:p="http://schemas.microsoft.com/office/2006/metadata/properties" xmlns:ns2="6cfad6c9-0d8a-4f08-b363-fe79249bc20d" xmlns:ns3="e422c799-4dbb-4704-9bc4-2b14a9e15e06" targetNamespace="http://schemas.microsoft.com/office/2006/metadata/properties" ma:root="true" ma:fieldsID="e76ffdf36258d13fdedd88a4e15d94a5" ns2:_="" ns3:_="">
    <xsd:import namespace="6cfad6c9-0d8a-4f08-b363-fe79249bc20d"/>
    <xsd:import namespace="e422c799-4dbb-4704-9bc4-2b14a9e15e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ad6c9-0d8a-4f08-b363-fe79249bc2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2c799-4dbb-4704-9bc4-2b14a9e15e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ea22de-b79c-4d58-80b6-8c144d47058a}" ma:internalName="TaxCatchAll" ma:showField="CatchAllData" ma:web="e422c799-4dbb-4704-9bc4-2b14a9e15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BA76A-5B95-49CC-A18D-BFF893F802F2}">
  <ds:schemaRefs>
    <ds:schemaRef ds:uri="http://schemas.microsoft.com/office/2006/documentManagement/types"/>
    <ds:schemaRef ds:uri="http://purl.org/dc/dcmitype/"/>
    <ds:schemaRef ds:uri="http://www.w3.org/XML/1998/namespace"/>
    <ds:schemaRef ds:uri="http://purl.org/dc/terms/"/>
    <ds:schemaRef ds:uri="http://purl.org/dc/elements/1.1/"/>
    <ds:schemaRef ds:uri="6cfad6c9-0d8a-4f08-b363-fe79249bc20d"/>
    <ds:schemaRef ds:uri="http://schemas.microsoft.com/office/2006/metadata/properties"/>
    <ds:schemaRef ds:uri="http://schemas.microsoft.com/office/infopath/2007/PartnerControls"/>
    <ds:schemaRef ds:uri="http://schemas.openxmlformats.org/package/2006/metadata/core-properties"/>
    <ds:schemaRef ds:uri="e422c799-4dbb-4704-9bc4-2b14a9e15e06"/>
  </ds:schemaRefs>
</ds:datastoreItem>
</file>

<file path=customXml/itemProps2.xml><?xml version="1.0" encoding="utf-8"?>
<ds:datastoreItem xmlns:ds="http://schemas.openxmlformats.org/officeDocument/2006/customXml" ds:itemID="{5E0F2537-FF26-4CD3-BA49-7855C3B4455E}">
  <ds:schemaRefs>
    <ds:schemaRef ds:uri="http://schemas.microsoft.com/sharepoint/v3/contenttype/forms"/>
  </ds:schemaRefs>
</ds:datastoreItem>
</file>

<file path=customXml/itemProps3.xml><?xml version="1.0" encoding="utf-8"?>
<ds:datastoreItem xmlns:ds="http://schemas.openxmlformats.org/officeDocument/2006/customXml" ds:itemID="{174862D5-92F9-4E74-B45F-98EFAC29F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ad6c9-0d8a-4f08-b363-fe79249bc20d"/>
    <ds:schemaRef ds:uri="e422c799-4dbb-4704-9bc4-2b14a9e15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29</vt:i4>
      </vt:variant>
    </vt:vector>
  </HeadingPairs>
  <TitlesOfParts>
    <vt:vector size="42" baseType="lpstr">
      <vt:lpstr>README</vt:lpstr>
      <vt:lpstr>HicRawData</vt:lpstr>
      <vt:lpstr>AllBeds</vt:lpstr>
      <vt:lpstr>ES</vt:lpstr>
      <vt:lpstr>TH</vt:lpstr>
      <vt:lpstr>SH</vt:lpstr>
      <vt:lpstr>PSH</vt:lpstr>
      <vt:lpstr>OPH</vt:lpstr>
      <vt:lpstr>RRH</vt:lpstr>
      <vt:lpstr>Chronic</vt:lpstr>
      <vt:lpstr>Vets</vt:lpstr>
      <vt:lpstr>Youth</vt:lpstr>
      <vt:lpstr>DO_NOT_EDIT</vt:lpstr>
      <vt:lpstr>CoC</vt:lpstr>
      <vt:lpstr>HeadingLine2</vt:lpstr>
      <vt:lpstr>HeadingLine3</vt:lpstr>
      <vt:lpstr>HIC_Date</vt:lpstr>
      <vt:lpstr>HudNum</vt:lpstr>
      <vt:lpstr>AllBeds!Print_Area</vt:lpstr>
      <vt:lpstr>Chronic!Print_Area</vt:lpstr>
      <vt:lpstr>ES!Print_Area</vt:lpstr>
      <vt:lpstr>HicRawData!Print_Area</vt:lpstr>
      <vt:lpstr>OPH!Print_Area</vt:lpstr>
      <vt:lpstr>PSH!Print_Area</vt:lpstr>
      <vt:lpstr>README!Print_Area</vt:lpstr>
      <vt:lpstr>RRH!Print_Area</vt:lpstr>
      <vt:lpstr>SH!Print_Area</vt:lpstr>
      <vt:lpstr>TH!Print_Area</vt:lpstr>
      <vt:lpstr>Vets!Print_Area</vt:lpstr>
      <vt:lpstr>Youth!Print_Area</vt:lpstr>
      <vt:lpstr>AllBeds!Print_Titles</vt:lpstr>
      <vt:lpstr>Chronic!Print_Titles</vt:lpstr>
      <vt:lpstr>ES!Print_Titles</vt:lpstr>
      <vt:lpstr>OPH!Print_Titles</vt:lpstr>
      <vt:lpstr>PSH!Print_Titles</vt:lpstr>
      <vt:lpstr>RRH!Print_Titles</vt:lpstr>
      <vt:lpstr>SH!Print_Titles</vt:lpstr>
      <vt:lpstr>TH!Print_Titles</vt:lpstr>
      <vt:lpstr>Vets!Print_Titles</vt:lpstr>
      <vt:lpstr>Youth!Print_Titles</vt:lpstr>
      <vt:lpstr>show_heading_section</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2025-04-09T01:54:52Z</dcterms:created>
  <dcterms:modified xsi:type="dcterms:W3CDTF">2025-08-05T19:46:31Z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0x010100F5FD19B331B6154F98DDF9D6E590EC91</vt:lpwstr>
  </property>
</Properties>
</file>